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3eba6197c1007dcf/Desktop/KERC/Reporting/Tariff/"/>
    </mc:Choice>
  </mc:AlternateContent>
  <xr:revisionPtr revIDLastSave="0" documentId="8_{0B8FE1D9-A5B7-4E82-B04D-BB2BBB20D6F8}" xr6:coauthVersionLast="47" xr6:coauthVersionMax="47" xr10:uidLastSave="{00000000-0000-0000-0000-000000000000}"/>
  <workbookProtection workbookAlgorithmName="SHA-512" workbookHashValue="LHHSwMh//1/uJHxrllzv+HAIldHC86IWKyYDvf6xHjcORtGUyN4ocUkPrra0KxbCwYHPizQY4khFykPBYKY0gg==" workbookSaltValue="o7dwc/zVQxl6YFaPLiI5jQ==" workbookSpinCount="100000" lockStructure="1"/>
  <bookViews>
    <workbookView xWindow="-108" yWindow="-108" windowWidth="23256" windowHeight="12456" tabRatio="843" xr2:uid="{9E937943-FBC9-4EE1-A0FD-8A017B789D10}"/>
  </bookViews>
  <sheets>
    <sheet name="Tool User Guide" sheetId="4" r:id="rId1"/>
    <sheet name="Basic Information" sheetId="9" r:id="rId2"/>
    <sheet name="Inputs" sheetId="1" r:id="rId3"/>
    <sheet name="Calculations" sheetId="2" r:id="rId4"/>
    <sheet name="Outputs" sheetId="3" r:id="rId5"/>
    <sheet name="Portfolio tab" sheetId="7" r:id="rId6"/>
    <sheet name="Grid arrival" sheetId="10" r:id="rId7"/>
  </sheets>
  <definedNames>
    <definedName name="Capital_Costs_Details" localSheetId="6">#REF!</definedName>
    <definedName name="Capital_Costs_Details">#REF!</definedName>
    <definedName name="_xlnm.Print_Area" localSheetId="4">Outputs!$A$1:$G$210</definedName>
    <definedName name="_xlnm.Print_Titles" localSheetId="0">'Tool User Guide'!$32:$32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0" l="1"/>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K17" i="10"/>
  <c r="K19" i="10" s="1"/>
  <c r="J17" i="10"/>
  <c r="J19" i="10" s="1"/>
  <c r="I17" i="10"/>
  <c r="I19" i="10" s="1"/>
  <c r="H17" i="10"/>
  <c r="H19" i="10" s="1"/>
  <c r="G17" i="10"/>
  <c r="G19" i="10" s="1"/>
  <c r="F17" i="10"/>
  <c r="F19" i="10" s="1"/>
  <c r="E17" i="10"/>
  <c r="E19" i="10" s="1"/>
  <c r="D17" i="10"/>
  <c r="D19" i="10" s="1"/>
  <c r="C17" i="10"/>
  <c r="C19" i="10" s="1"/>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AA12" i="10"/>
  <c r="Z12" i="10"/>
  <c r="Y12" i="10"/>
  <c r="X12" i="10"/>
  <c r="W12" i="10"/>
  <c r="V12" i="10"/>
  <c r="C8" i="10"/>
  <c r="C7" i="10"/>
  <c r="C6" i="10"/>
  <c r="C76" i="10"/>
  <c r="G56" i="10"/>
  <c r="C56" i="10"/>
  <c r="D10" i="10"/>
  <c r="E10" i="10" s="1"/>
  <c r="F10" i="10" s="1"/>
  <c r="G10" i="10" s="1"/>
  <c r="H10" i="10" s="1"/>
  <c r="I10" i="10" s="1"/>
  <c r="J10" i="10" s="1"/>
  <c r="K10" i="10" s="1"/>
  <c r="L10" i="10" s="1"/>
  <c r="M10" i="10" s="1"/>
  <c r="N10" i="10" s="1"/>
  <c r="O10" i="10" s="1"/>
  <c r="A129" i="7"/>
  <c r="D11" i="7"/>
  <c r="E24" i="1"/>
  <c r="C17" i="2"/>
  <c r="C191" i="1"/>
  <c r="B152" i="1"/>
  <c r="E27" i="1"/>
  <c r="X7" i="7"/>
  <c r="O12" i="10" l="1"/>
  <c r="N12" i="10"/>
  <c r="M12" i="10"/>
  <c r="L12" i="10"/>
  <c r="K12" i="10"/>
  <c r="J12" i="10"/>
  <c r="I12" i="10"/>
  <c r="H12" i="10"/>
  <c r="G12" i="10"/>
  <c r="F12" i="10"/>
  <c r="E12" i="10"/>
  <c r="D12" i="10"/>
  <c r="C12"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Z17" i="10"/>
  <c r="Z19" i="10" s="1"/>
  <c r="S17" i="10"/>
  <c r="S19" i="10" s="1"/>
  <c r="O17" i="10"/>
  <c r="O19" i="10" s="1"/>
  <c r="X17" i="10"/>
  <c r="X19" i="10" s="1"/>
  <c r="U17" i="10"/>
  <c r="U19" i="10" s="1"/>
  <c r="Q17" i="10"/>
  <c r="Q19" i="10" s="1"/>
  <c r="M17" i="10"/>
  <c r="M19" i="10" s="1"/>
  <c r="U12" i="10"/>
  <c r="T12" i="10"/>
  <c r="S12" i="10"/>
  <c r="R12" i="10"/>
  <c r="AA17" i="10"/>
  <c r="AA19" i="10" s="1"/>
  <c r="W17" i="10"/>
  <c r="W19" i="10" s="1"/>
  <c r="T17" i="10"/>
  <c r="T19" i="10" s="1"/>
  <c r="R17" i="10"/>
  <c r="R19" i="10" s="1"/>
  <c r="N17" i="10"/>
  <c r="N19" i="10" s="1"/>
  <c r="Q12" i="10"/>
  <c r="P12" i="10"/>
  <c r="Y17" i="10"/>
  <c r="Y19" i="10" s="1"/>
  <c r="V17" i="10"/>
  <c r="V19" i="10" s="1"/>
  <c r="P17" i="10"/>
  <c r="P19" i="10" s="1"/>
  <c r="L17" i="10"/>
  <c r="L19" i="10" s="1"/>
  <c r="E53" i="10"/>
  <c r="G53" i="10"/>
  <c r="C73" i="10"/>
  <c r="P10" i="10"/>
  <c r="Q10" i="10" s="1"/>
  <c r="R10" i="10" s="1"/>
  <c r="S10" i="10" s="1"/>
  <c r="T10" i="10" s="1"/>
  <c r="U10" i="10" s="1"/>
  <c r="V10" i="10" s="1"/>
  <c r="W10" i="10" s="1"/>
  <c r="X10" i="10" s="1"/>
  <c r="Y10" i="10" s="1"/>
  <c r="Z10" i="10" s="1"/>
  <c r="AA10" i="10" s="1"/>
  <c r="E64" i="10"/>
  <c r="E66" i="10"/>
  <c r="G66" i="10"/>
  <c r="C64" i="10"/>
  <c r="G64" i="10"/>
  <c r="C74" i="10"/>
  <c r="C66" i="10"/>
  <c r="C72" i="10"/>
  <c r="C36" i="10"/>
  <c r="E36" i="10"/>
  <c r="G36" i="10"/>
  <c r="G37" i="10" s="1"/>
  <c r="I36" i="10"/>
  <c r="G62" i="10"/>
  <c r="AA14" i="10"/>
  <c r="Z14" i="10"/>
  <c r="Y14" i="10"/>
  <c r="F14" i="10"/>
  <c r="G14" i="10"/>
  <c r="N14" i="10"/>
  <c r="I14" i="10"/>
  <c r="J14" i="10"/>
  <c r="G63" i="10" s="1"/>
  <c r="K14" i="10"/>
  <c r="C14" i="10"/>
  <c r="L14" i="10"/>
  <c r="M14" i="10"/>
  <c r="O14" i="10"/>
  <c r="P14" i="10"/>
  <c r="Q14" i="10"/>
  <c r="R14" i="10"/>
  <c r="S14" i="10"/>
  <c r="T14" i="10"/>
  <c r="U14" i="10"/>
  <c r="V14" i="10"/>
  <c r="W14" i="10"/>
  <c r="X14" i="10"/>
  <c r="D14" i="10"/>
  <c r="H14" i="10"/>
  <c r="E14" i="10"/>
  <c r="D18" i="2"/>
  <c r="C78" i="10" l="1"/>
  <c r="C77" i="10"/>
  <c r="C79" i="10" s="1"/>
  <c r="E62" i="10"/>
  <c r="E63" i="10"/>
  <c r="C35" i="10"/>
  <c r="C62" i="10"/>
  <c r="C63" i="10"/>
  <c r="E35" i="10"/>
  <c r="E37" i="10" s="1"/>
  <c r="G67" i="10"/>
  <c r="G51" i="10" s="1"/>
  <c r="D198" i="1"/>
  <c r="D199" i="1"/>
  <c r="D200" i="1"/>
  <c r="D201" i="1"/>
  <c r="D202" i="1"/>
  <c r="D203" i="1"/>
  <c r="D204" i="1"/>
  <c r="B41" i="2"/>
  <c r="B40" i="2"/>
  <c r="G52" i="10" l="1"/>
  <c r="E52" i="10"/>
  <c r="C37" i="10"/>
  <c r="I35" i="10"/>
  <c r="I37" i="10" s="1"/>
  <c r="E67" i="10"/>
  <c r="E51" i="10" s="1"/>
  <c r="C67" i="10"/>
  <c r="C51" i="10" s="1"/>
  <c r="C57" i="10" s="1"/>
  <c r="AI123" i="1"/>
  <c r="AI125" i="1"/>
  <c r="AH123" i="1"/>
  <c r="AH125" i="1"/>
  <c r="G54" i="10" l="1"/>
  <c r="G57" i="10" s="1"/>
  <c r="E54" i="10"/>
  <c r="E55" i="10"/>
  <c r="C160" i="7"/>
  <c r="D13" i="7"/>
  <c r="E13" i="7" s="1"/>
  <c r="F13" i="7" s="1"/>
  <c r="G13" i="7" s="1"/>
  <c r="H13" i="7" s="1"/>
  <c r="I13" i="7" s="1"/>
  <c r="J13" i="7" s="1"/>
  <c r="K13" i="7" s="1"/>
  <c r="L13" i="7" s="1"/>
  <c r="M13" i="7" s="1"/>
  <c r="N13" i="7" s="1"/>
  <c r="O13" i="7" s="1"/>
  <c r="P13" i="7" s="1"/>
  <c r="Q13" i="7" s="1"/>
  <c r="R13" i="7" s="1"/>
  <c r="S13" i="7" s="1"/>
  <c r="T13" i="7" s="1"/>
  <c r="U13" i="7" s="1"/>
  <c r="V13" i="7" s="1"/>
  <c r="D9" i="7"/>
  <c r="E9" i="7" s="1"/>
  <c r="F9" i="7" s="1"/>
  <c r="D168" i="7"/>
  <c r="E168" i="7"/>
  <c r="F168" i="7"/>
  <c r="G168" i="7"/>
  <c r="H168" i="7"/>
  <c r="I168" i="7"/>
  <c r="J168" i="7"/>
  <c r="K168" i="7"/>
  <c r="L168" i="7"/>
  <c r="M168" i="7"/>
  <c r="N168" i="7"/>
  <c r="O168" i="7"/>
  <c r="P168" i="7"/>
  <c r="Q168" i="7"/>
  <c r="R168" i="7"/>
  <c r="S168" i="7"/>
  <c r="T168" i="7"/>
  <c r="U168" i="7"/>
  <c r="V168" i="7"/>
  <c r="C168" i="7"/>
  <c r="X167" i="7"/>
  <c r="X166" i="7"/>
  <c r="X165" i="7"/>
  <c r="X164" i="7"/>
  <c r="X163" i="7"/>
  <c r="X162" i="7"/>
  <c r="X161" i="7"/>
  <c r="X168" i="7" s="1"/>
  <c r="X150" i="7"/>
  <c r="X151" i="7"/>
  <c r="X152" i="7"/>
  <c r="X153" i="7"/>
  <c r="X154" i="7"/>
  <c r="X155" i="7"/>
  <c r="X149" i="7"/>
  <c r="D206" i="1"/>
  <c r="E206" i="1" s="1"/>
  <c r="F206" i="1" s="1"/>
  <c r="G206" i="1" s="1"/>
  <c r="B53" i="4"/>
  <c r="AG123" i="1"/>
  <c r="AG125" i="1"/>
  <c r="AG116" i="1"/>
  <c r="AG117" i="1"/>
  <c r="AG118" i="1"/>
  <c r="AG119" i="1"/>
  <c r="AG98" i="1"/>
  <c r="AG100" i="1"/>
  <c r="AG80" i="1"/>
  <c r="AG82" i="1"/>
  <c r="AG62" i="1"/>
  <c r="AG64" i="1"/>
  <c r="AG45" i="1"/>
  <c r="AG46" i="1"/>
  <c r="AG48" i="1"/>
  <c r="AG43" i="1"/>
  <c r="C156" i="7"/>
  <c r="D156" i="7"/>
  <c r="E156" i="7"/>
  <c r="F156" i="7"/>
  <c r="G156" i="7"/>
  <c r="H156" i="7"/>
  <c r="I156" i="7"/>
  <c r="J156" i="7"/>
  <c r="K156" i="7"/>
  <c r="L156" i="7"/>
  <c r="M156" i="7"/>
  <c r="N156" i="7"/>
  <c r="O156" i="7"/>
  <c r="P156" i="7"/>
  <c r="Q156" i="7"/>
  <c r="R156" i="7"/>
  <c r="S156" i="7"/>
  <c r="T156" i="7"/>
  <c r="U156" i="7"/>
  <c r="V156" i="7"/>
  <c r="W156" i="7"/>
  <c r="D147" i="7"/>
  <c r="E147" i="7" s="1"/>
  <c r="F147" i="7" s="1"/>
  <c r="G147" i="7" s="1"/>
  <c r="H147" i="7" s="1"/>
  <c r="I147" i="7" s="1"/>
  <c r="J147" i="7" s="1"/>
  <c r="K147" i="7" s="1"/>
  <c r="L147" i="7" s="1"/>
  <c r="M147" i="7" s="1"/>
  <c r="N147" i="7" s="1"/>
  <c r="O147" i="7" s="1"/>
  <c r="P147" i="7" s="1"/>
  <c r="Q147" i="7" s="1"/>
  <c r="R147" i="7" s="1"/>
  <c r="S147" i="7" s="1"/>
  <c r="T147" i="7" s="1"/>
  <c r="U147" i="7" s="1"/>
  <c r="V147" i="7" s="1"/>
  <c r="H197" i="1"/>
  <c r="H205" i="1"/>
  <c r="C163" i="2" s="1"/>
  <c r="X5" i="7"/>
  <c r="A163" i="2"/>
  <c r="E11" i="7" l="1"/>
  <c r="F11" i="7" s="1"/>
  <c r="G11" i="7" s="1"/>
  <c r="H11" i="7" s="1"/>
  <c r="I11" i="7" s="1"/>
  <c r="J11" i="7" s="1"/>
  <c r="K11" i="7" s="1"/>
  <c r="L11" i="7" s="1"/>
  <c r="M11" i="7" s="1"/>
  <c r="N11" i="7" s="1"/>
  <c r="O11" i="7" s="1"/>
  <c r="P11" i="7" s="1"/>
  <c r="Q11" i="7" s="1"/>
  <c r="R11" i="7" s="1"/>
  <c r="S11" i="7" s="1"/>
  <c r="T11" i="7" s="1"/>
  <c r="U11" i="7" s="1"/>
  <c r="AG30" i="1"/>
  <c r="AG29" i="1"/>
  <c r="AG25" i="1"/>
  <c r="AG28" i="1"/>
  <c r="AG44" i="1"/>
  <c r="X13" i="7"/>
  <c r="G9" i="7"/>
  <c r="H9" i="7" s="1"/>
  <c r="I9" i="7" s="1"/>
  <c r="J9" i="7" s="1"/>
  <c r="K9" i="7" s="1"/>
  <c r="L9" i="7" s="1"/>
  <c r="M9" i="7" s="1"/>
  <c r="N9" i="7" s="1"/>
  <c r="O9" i="7" s="1"/>
  <c r="P9" i="7" s="1"/>
  <c r="Q9" i="7" s="1"/>
  <c r="R9" i="7" s="1"/>
  <c r="S9" i="7" s="1"/>
  <c r="T9" i="7" s="1"/>
  <c r="U9" i="7" s="1"/>
  <c r="V9" i="7" s="1"/>
  <c r="X156" i="7"/>
  <c r="C6" i="1"/>
  <c r="C8" i="1" s="1"/>
  <c r="B24" i="1"/>
  <c r="B216" i="1"/>
  <c r="AG27" i="1"/>
  <c r="I112" i="2"/>
  <c r="J112" i="2"/>
  <c r="K112" i="2"/>
  <c r="L112" i="2"/>
  <c r="M112" i="2"/>
  <c r="N112" i="2"/>
  <c r="O112" i="2"/>
  <c r="P112" i="2"/>
  <c r="Q112" i="2"/>
  <c r="R112" i="2"/>
  <c r="S112" i="2"/>
  <c r="T112" i="2"/>
  <c r="U112" i="2"/>
  <c r="V112" i="2"/>
  <c r="W112" i="2"/>
  <c r="X112" i="2"/>
  <c r="Y112" i="2"/>
  <c r="Z112" i="2"/>
  <c r="AA112" i="2"/>
  <c r="AB112" i="2"/>
  <c r="B228" i="1"/>
  <c r="X11" i="7" l="1"/>
  <c r="V11" i="7"/>
  <c r="X9" i="7"/>
  <c r="B170" i="1"/>
  <c r="B149" i="3"/>
  <c r="B23" i="7"/>
  <c r="B148" i="3"/>
  <c r="B193" i="1"/>
  <c r="B8" i="3"/>
  <c r="B100" i="2"/>
  <c r="C98" i="2"/>
  <c r="C96" i="2"/>
  <c r="C94" i="2"/>
  <c r="C92" i="2"/>
  <c r="C90" i="2"/>
  <c r="C88" i="2"/>
  <c r="C86" i="2"/>
  <c r="B82" i="2"/>
  <c r="B81" i="2"/>
  <c r="B80" i="2"/>
  <c r="B79" i="2"/>
  <c r="B78" i="2"/>
  <c r="B77" i="2"/>
  <c r="B76" i="2"/>
  <c r="C73" i="2"/>
  <c r="B68" i="2"/>
  <c r="B66" i="2"/>
  <c r="B53" i="2"/>
  <c r="B224" i="1"/>
  <c r="B223" i="1"/>
  <c r="B226" i="1"/>
  <c r="B225" i="1"/>
  <c r="B217" i="1"/>
  <c r="A148" i="3" l="1"/>
  <c r="C183" i="1"/>
  <c r="B25" i="1"/>
  <c r="X143" i="7"/>
  <c r="X142" i="7"/>
  <c r="X141" i="7"/>
  <c r="X140" i="7"/>
  <c r="X139" i="7"/>
  <c r="X138" i="7"/>
  <c r="X137" i="7"/>
  <c r="W144" i="7"/>
  <c r="V144" i="7"/>
  <c r="U144" i="7"/>
  <c r="T144" i="7"/>
  <c r="S144" i="7"/>
  <c r="R144" i="7"/>
  <c r="Q144" i="7"/>
  <c r="P144" i="7"/>
  <c r="O144" i="7"/>
  <c r="N144" i="7"/>
  <c r="M144" i="7"/>
  <c r="L144" i="7"/>
  <c r="K144" i="7"/>
  <c r="J144" i="7"/>
  <c r="I144" i="7"/>
  <c r="H144" i="7"/>
  <c r="G144" i="7"/>
  <c r="F144" i="7"/>
  <c r="E144" i="7"/>
  <c r="D144" i="7"/>
  <c r="C144" i="7"/>
  <c r="X130" i="7"/>
  <c r="X129" i="7"/>
  <c r="X128" i="7"/>
  <c r="X127" i="7"/>
  <c r="X131" i="7" s="1"/>
  <c r="X126" i="7"/>
  <c r="X125" i="7"/>
  <c r="X124" i="7"/>
  <c r="W131" i="7"/>
  <c r="D131" i="7"/>
  <c r="E131" i="7"/>
  <c r="F131" i="7"/>
  <c r="G131" i="7"/>
  <c r="H131" i="7"/>
  <c r="I131" i="7"/>
  <c r="J131" i="7"/>
  <c r="K131" i="7"/>
  <c r="L131" i="7"/>
  <c r="M131" i="7"/>
  <c r="N131" i="7"/>
  <c r="O131" i="7"/>
  <c r="P131" i="7"/>
  <c r="Q131" i="7"/>
  <c r="R131" i="7"/>
  <c r="S131" i="7"/>
  <c r="T131" i="7"/>
  <c r="U131" i="7"/>
  <c r="V131" i="7"/>
  <c r="X114" i="7"/>
  <c r="X113" i="7"/>
  <c r="X112" i="7"/>
  <c r="X111" i="7"/>
  <c r="X110" i="7"/>
  <c r="X109" i="7"/>
  <c r="X108" i="7"/>
  <c r="X107" i="7"/>
  <c r="X106" i="7"/>
  <c r="X105" i="7"/>
  <c r="X104" i="7"/>
  <c r="X103" i="7"/>
  <c r="X102" i="7"/>
  <c r="X101" i="7"/>
  <c r="X100" i="7"/>
  <c r="X99" i="7"/>
  <c r="X98" i="7"/>
  <c r="X96" i="7"/>
  <c r="X95" i="7"/>
  <c r="X94" i="7"/>
  <c r="X93" i="7"/>
  <c r="X92" i="7"/>
  <c r="X91" i="7"/>
  <c r="X90" i="7"/>
  <c r="X89" i="7"/>
  <c r="X88" i="7"/>
  <c r="X87" i="7"/>
  <c r="X86" i="7"/>
  <c r="X85" i="7"/>
  <c r="X84" i="7"/>
  <c r="X83" i="7"/>
  <c r="X82" i="7"/>
  <c r="X81" i="7"/>
  <c r="X80" i="7"/>
  <c r="X78" i="7"/>
  <c r="X40" i="7"/>
  <c r="X41" i="7"/>
  <c r="X6" i="7"/>
  <c r="V6" i="7"/>
  <c r="U6" i="7"/>
  <c r="T6" i="7"/>
  <c r="T8" i="7" s="1"/>
  <c r="T10" i="7" s="1"/>
  <c r="T12" i="7" s="1"/>
  <c r="T14" i="7" s="1"/>
  <c r="S6" i="7"/>
  <c r="R6" i="7"/>
  <c r="Q6" i="7"/>
  <c r="P6" i="7"/>
  <c r="P8" i="7" s="1"/>
  <c r="P10" i="7" s="1"/>
  <c r="P12" i="7" s="1"/>
  <c r="P14" i="7" s="1"/>
  <c r="O6" i="7"/>
  <c r="N6" i="7"/>
  <c r="M6" i="7"/>
  <c r="L6" i="7"/>
  <c r="K6" i="7"/>
  <c r="J6" i="7"/>
  <c r="I6" i="7"/>
  <c r="H6" i="7"/>
  <c r="H8" i="7" s="1"/>
  <c r="G6" i="7"/>
  <c r="G8" i="7" s="1"/>
  <c r="F6" i="7"/>
  <c r="F8" i="7" s="1"/>
  <c r="E6" i="7"/>
  <c r="D6" i="7"/>
  <c r="D8" i="7" s="1"/>
  <c r="D10" i="7" s="1"/>
  <c r="D12" i="7" s="1"/>
  <c r="D14" i="7" s="1"/>
  <c r="A134" i="7"/>
  <c r="C131" i="7"/>
  <c r="A122" i="7"/>
  <c r="A115" i="7"/>
  <c r="A97" i="7"/>
  <c r="A79" i="7"/>
  <c r="A22" i="7"/>
  <c r="A42" i="7"/>
  <c r="A45" i="7"/>
  <c r="A61" i="7"/>
  <c r="A23" i="7"/>
  <c r="X23" i="7"/>
  <c r="A24" i="7"/>
  <c r="X24" i="7"/>
  <c r="A25" i="7"/>
  <c r="X25" i="7"/>
  <c r="A26" i="7"/>
  <c r="X26" i="7"/>
  <c r="A27" i="7"/>
  <c r="X27" i="7"/>
  <c r="A28" i="7"/>
  <c r="X28" i="7"/>
  <c r="A29" i="7"/>
  <c r="X29" i="7"/>
  <c r="A30" i="7"/>
  <c r="X30" i="7"/>
  <c r="A31" i="7"/>
  <c r="X31" i="7"/>
  <c r="A32" i="7"/>
  <c r="X32" i="7"/>
  <c r="A33" i="7"/>
  <c r="X33" i="7"/>
  <c r="A34" i="7"/>
  <c r="X34" i="7"/>
  <c r="A35" i="7"/>
  <c r="X35" i="7"/>
  <c r="A36" i="7"/>
  <c r="X36" i="7"/>
  <c r="A37" i="7"/>
  <c r="X37" i="7"/>
  <c r="A38" i="7"/>
  <c r="X38" i="7"/>
  <c r="A39" i="7"/>
  <c r="X39" i="7"/>
  <c r="A40" i="7"/>
  <c r="A41" i="7"/>
  <c r="A43" i="7"/>
  <c r="X43" i="7"/>
  <c r="A44" i="7"/>
  <c r="A46" i="7"/>
  <c r="X46" i="7"/>
  <c r="A47" i="7"/>
  <c r="X47" i="7"/>
  <c r="A48" i="7"/>
  <c r="X48" i="7"/>
  <c r="A49" i="7"/>
  <c r="X49" i="7"/>
  <c r="A50" i="7"/>
  <c r="X50" i="7"/>
  <c r="A51" i="7"/>
  <c r="X51" i="7"/>
  <c r="A52" i="7"/>
  <c r="X52" i="7"/>
  <c r="A53" i="7"/>
  <c r="X53" i="7"/>
  <c r="A54" i="7"/>
  <c r="X54" i="7"/>
  <c r="A55" i="7"/>
  <c r="X55" i="7"/>
  <c r="A56" i="7"/>
  <c r="X56" i="7"/>
  <c r="A57" i="7"/>
  <c r="X57" i="7"/>
  <c r="A58" i="7"/>
  <c r="X58" i="7"/>
  <c r="A59" i="7"/>
  <c r="X59" i="7"/>
  <c r="A60" i="7"/>
  <c r="A62" i="7"/>
  <c r="X62" i="7"/>
  <c r="A63" i="7"/>
  <c r="X63" i="7"/>
  <c r="A64" i="7"/>
  <c r="X64" i="7"/>
  <c r="A65" i="7"/>
  <c r="X65" i="7"/>
  <c r="A66" i="7"/>
  <c r="X66" i="7"/>
  <c r="A67" i="7"/>
  <c r="X67" i="7"/>
  <c r="A68" i="7"/>
  <c r="X68" i="7"/>
  <c r="A69" i="7"/>
  <c r="X69" i="7"/>
  <c r="A70" i="7"/>
  <c r="X70" i="7"/>
  <c r="A71" i="7"/>
  <c r="X71" i="7"/>
  <c r="A72" i="7"/>
  <c r="X72" i="7"/>
  <c r="A73" i="7"/>
  <c r="X73" i="7"/>
  <c r="A74" i="7"/>
  <c r="X74" i="7"/>
  <c r="A75" i="7"/>
  <c r="X75" i="7"/>
  <c r="A76" i="7"/>
  <c r="X76" i="7"/>
  <c r="A77" i="7"/>
  <c r="X77" i="7"/>
  <c r="A78" i="7"/>
  <c r="A80" i="7"/>
  <c r="A81" i="7"/>
  <c r="A82" i="7"/>
  <c r="A83" i="7"/>
  <c r="A84" i="7"/>
  <c r="A85" i="7"/>
  <c r="A86" i="7"/>
  <c r="A87" i="7"/>
  <c r="A88" i="7"/>
  <c r="A89" i="7"/>
  <c r="A90" i="7"/>
  <c r="A91" i="7"/>
  <c r="A92" i="7"/>
  <c r="A93" i="7"/>
  <c r="A94" i="7"/>
  <c r="A95" i="7"/>
  <c r="A96" i="7"/>
  <c r="A116" i="7"/>
  <c r="X116" i="7"/>
  <c r="A117" i="7"/>
  <c r="X117" i="7"/>
  <c r="A118" i="7"/>
  <c r="X118" i="7"/>
  <c r="A119" i="7"/>
  <c r="X119" i="7"/>
  <c r="A120" i="7"/>
  <c r="X120" i="7"/>
  <c r="A121" i="7"/>
  <c r="X121" i="7"/>
  <c r="A124" i="7"/>
  <c r="A125" i="7"/>
  <c r="A126" i="7"/>
  <c r="C6" i="7"/>
  <c r="E108" i="1"/>
  <c r="AG108" i="1" s="1"/>
  <c r="E90" i="1"/>
  <c r="AG90" i="1" s="1"/>
  <c r="AG24" i="1"/>
  <c r="F28" i="1"/>
  <c r="L8" i="7" l="1"/>
  <c r="L10" i="7" s="1"/>
  <c r="L12" i="7" s="1"/>
  <c r="L14" i="7" s="1"/>
  <c r="X144" i="7"/>
  <c r="O8" i="7"/>
  <c r="O10" i="7" s="1"/>
  <c r="O12" i="7" s="1"/>
  <c r="O14" i="7" s="1"/>
  <c r="C8" i="7"/>
  <c r="E8" i="7"/>
  <c r="E10" i="7" s="1"/>
  <c r="E12" i="7" s="1"/>
  <c r="E14" i="7" s="1"/>
  <c r="I8" i="7"/>
  <c r="I10" i="7" s="1"/>
  <c r="I12" i="7" s="1"/>
  <c r="I14" i="7" s="1"/>
  <c r="M8" i="7"/>
  <c r="M10" i="7" s="1"/>
  <c r="M12" i="7" s="1"/>
  <c r="M14" i="7" s="1"/>
  <c r="Q8" i="7"/>
  <c r="Q10" i="7" s="1"/>
  <c r="Q12" i="7" s="1"/>
  <c r="Q14" i="7" s="1"/>
  <c r="U8" i="7"/>
  <c r="U10" i="7" s="1"/>
  <c r="U12" i="7" s="1"/>
  <c r="U14" i="7" s="1"/>
  <c r="K8" i="7"/>
  <c r="K10" i="7" s="1"/>
  <c r="K12" i="7" s="1"/>
  <c r="K14" i="7" s="1"/>
  <c r="S8" i="7"/>
  <c r="S10" i="7" s="1"/>
  <c r="S12" i="7" s="1"/>
  <c r="S14" i="7" s="1"/>
  <c r="J8" i="7"/>
  <c r="J10" i="7" s="1"/>
  <c r="J12" i="7" s="1"/>
  <c r="J14" i="7" s="1"/>
  <c r="N8" i="7"/>
  <c r="N10" i="7" s="1"/>
  <c r="N12" i="7" s="1"/>
  <c r="N14" i="7" s="1"/>
  <c r="R8" i="7"/>
  <c r="R10" i="7" s="1"/>
  <c r="R12" i="7" s="1"/>
  <c r="R14" i="7" s="1"/>
  <c r="V8" i="7"/>
  <c r="V10" i="7" s="1"/>
  <c r="V12" i="7" s="1"/>
  <c r="V14" i="7" s="1"/>
  <c r="B59" i="1"/>
  <c r="B57" i="1"/>
  <c r="F10" i="7"/>
  <c r="F12" i="7" s="1"/>
  <c r="F14" i="7" s="1"/>
  <c r="G10" i="7"/>
  <c r="G12" i="7" s="1"/>
  <c r="G14" i="7" s="1"/>
  <c r="H10" i="7"/>
  <c r="H12" i="7" s="1"/>
  <c r="H14" i="7" s="1"/>
  <c r="B100" i="7"/>
  <c r="B26" i="1"/>
  <c r="B29" i="1"/>
  <c r="B28" i="1"/>
  <c r="B173" i="1" s="1"/>
  <c r="B30" i="1"/>
  <c r="B27" i="1"/>
  <c r="E25" i="2"/>
  <c r="F25" i="2"/>
  <c r="G25" i="2"/>
  <c r="H25" i="2"/>
  <c r="X8" i="7" l="1"/>
  <c r="X10" i="7" s="1"/>
  <c r="X12" i="7" s="1"/>
  <c r="X14" i="7" s="1"/>
  <c r="C10" i="7"/>
  <c r="C12" i="7" s="1"/>
  <c r="C14" i="7" s="1"/>
  <c r="B108" i="7"/>
  <c r="B109" i="7"/>
  <c r="B106" i="7"/>
  <c r="B103" i="7"/>
  <c r="B112" i="7"/>
  <c r="B43" i="7"/>
  <c r="B110" i="7"/>
  <c r="B101" i="7"/>
  <c r="B98" i="7"/>
  <c r="B99" i="7"/>
  <c r="B111" i="7"/>
  <c r="B104" i="7"/>
  <c r="B105" i="7"/>
  <c r="B102" i="7"/>
  <c r="B62" i="7"/>
  <c r="B107" i="7"/>
  <c r="E224" i="1"/>
  <c r="E223" i="1" s="1"/>
  <c r="C139" i="3"/>
  <c r="C137" i="3"/>
  <c r="A194" i="3"/>
  <c r="B87" i="4"/>
  <c r="B86" i="4"/>
  <c r="B85" i="4"/>
  <c r="B84" i="4"/>
  <c r="B83" i="4"/>
  <c r="B82" i="4"/>
  <c r="B56" i="4"/>
  <c r="B81" i="4"/>
  <c r="B80" i="4"/>
  <c r="B79" i="4"/>
  <c r="B78" i="4"/>
  <c r="B77" i="4"/>
  <c r="B76" i="4"/>
  <c r="B75" i="4"/>
  <c r="B74" i="4"/>
  <c r="B73" i="4"/>
  <c r="B71" i="4"/>
  <c r="B70" i="4"/>
  <c r="B68" i="4"/>
  <c r="B69" i="4"/>
  <c r="B67" i="4"/>
  <c r="B66" i="4"/>
  <c r="B65" i="4"/>
  <c r="B64" i="4"/>
  <c r="B63" i="4"/>
  <c r="B62" i="4"/>
  <c r="B61" i="4"/>
  <c r="B60" i="4"/>
  <c r="B59" i="4"/>
  <c r="B58" i="4"/>
  <c r="B55" i="4"/>
  <c r="B54" i="4"/>
  <c r="B52" i="4"/>
  <c r="B48" i="4"/>
  <c r="B51" i="4"/>
  <c r="B50" i="4"/>
  <c r="B49" i="4"/>
  <c r="B47" i="4"/>
  <c r="B46" i="4"/>
  <c r="B45" i="4"/>
  <c r="B44" i="4"/>
  <c r="B43" i="4"/>
  <c r="B42" i="4"/>
  <c r="B41" i="4"/>
  <c r="B40" i="4"/>
  <c r="B39" i="4"/>
  <c r="B38" i="4"/>
  <c r="B37" i="4"/>
  <c r="B36" i="4"/>
  <c r="B35" i="4"/>
  <c r="B34" i="4"/>
  <c r="B33" i="4"/>
  <c r="B115" i="1" l="1"/>
  <c r="B114" i="1"/>
  <c r="B113" i="1"/>
  <c r="B112" i="1"/>
  <c r="B111" i="1"/>
  <c r="B110" i="1"/>
  <c r="B109" i="1"/>
  <c r="B108" i="1"/>
  <c r="B107" i="1"/>
  <c r="B106" i="1"/>
  <c r="B105" i="1"/>
  <c r="B104" i="1"/>
  <c r="B103" i="1"/>
  <c r="B102" i="1"/>
  <c r="B101" i="1"/>
  <c r="B100" i="1"/>
  <c r="B99" i="1"/>
  <c r="B24" i="7"/>
  <c r="C169" i="2"/>
  <c r="C143" i="3"/>
  <c r="C168" i="2"/>
  <c r="C142" i="3"/>
  <c r="B163" i="2"/>
  <c r="A164" i="2"/>
  <c r="B164" i="2"/>
  <c r="A165" i="2"/>
  <c r="B165" i="2"/>
  <c r="A166" i="2"/>
  <c r="B166" i="2"/>
  <c r="A167" i="2"/>
  <c r="A168" i="2"/>
  <c r="A169" i="2"/>
  <c r="A170" i="2"/>
  <c r="B170" i="2"/>
  <c r="A171" i="2"/>
  <c r="B172" i="2"/>
  <c r="B44" i="7" l="1"/>
  <c r="B63" i="7"/>
  <c r="A150" i="3"/>
  <c r="A149" i="3"/>
  <c r="A153" i="3"/>
  <c r="D55" i="3"/>
  <c r="E55" i="3" s="1"/>
  <c r="F55" i="3" s="1"/>
  <c r="G55" i="3" s="1"/>
  <c r="D53" i="3"/>
  <c r="E53" i="3" s="1"/>
  <c r="F53" i="3" s="1"/>
  <c r="G53" i="3" s="1"/>
  <c r="C223" i="3"/>
  <c r="C224" i="3"/>
  <c r="C225" i="3"/>
  <c r="C226" i="3"/>
  <c r="C227" i="3"/>
  <c r="C228" i="3"/>
  <c r="C229" i="3"/>
  <c r="J230" i="3"/>
  <c r="A223" i="3"/>
  <c r="A229" i="3"/>
  <c r="A224" i="3"/>
  <c r="A225" i="3"/>
  <c r="A226" i="3"/>
  <c r="A227" i="3"/>
  <c r="A228" i="3"/>
  <c r="A7" i="3"/>
  <c r="A9" i="3"/>
  <c r="E99" i="1"/>
  <c r="AG99" i="1" s="1"/>
  <c r="E101" i="1"/>
  <c r="AG101" i="1" s="1"/>
  <c r="E102" i="1"/>
  <c r="AG102" i="1" s="1"/>
  <c r="E103" i="1"/>
  <c r="AG103" i="1" s="1"/>
  <c r="E104" i="1"/>
  <c r="E105" i="1"/>
  <c r="E106" i="1"/>
  <c r="E107" i="1"/>
  <c r="F108" i="1"/>
  <c r="E110" i="1"/>
  <c r="E111" i="1"/>
  <c r="E115" i="1"/>
  <c r="AG115" i="1" s="1"/>
  <c r="E114" i="1"/>
  <c r="E113" i="1"/>
  <c r="E112" i="1"/>
  <c r="E109" i="1"/>
  <c r="E83" i="1"/>
  <c r="AG83" i="1" s="1"/>
  <c r="AI100" i="1"/>
  <c r="AH100" i="1"/>
  <c r="AI98" i="1"/>
  <c r="AH98" i="1"/>
  <c r="B84" i="3"/>
  <c r="B86" i="3"/>
  <c r="B85" i="3"/>
  <c r="A177" i="3"/>
  <c r="A157" i="3"/>
  <c r="B19" i="3"/>
  <c r="B17" i="3"/>
  <c r="B15" i="3"/>
  <c r="B13" i="3"/>
  <c r="B11" i="3"/>
  <c r="B9" i="3"/>
  <c r="B7" i="3"/>
  <c r="A17" i="3"/>
  <c r="A13" i="3"/>
  <c r="A15" i="3"/>
  <c r="B10" i="3"/>
  <c r="B12" i="3"/>
  <c r="B14" i="3"/>
  <c r="B16" i="3"/>
  <c r="B18" i="3"/>
  <c r="B20" i="3"/>
  <c r="D49" i="3"/>
  <c r="E49" i="3" s="1"/>
  <c r="F49" i="3" s="1"/>
  <c r="G49" i="3" s="1"/>
  <c r="H49" i="3" s="1"/>
  <c r="I49" i="3" s="1"/>
  <c r="J49" i="3" s="1"/>
  <c r="K49" i="3" s="1"/>
  <c r="L49" i="3" s="1"/>
  <c r="M49" i="3" s="1"/>
  <c r="N49" i="3" s="1"/>
  <c r="O49" i="3" s="1"/>
  <c r="P49" i="3" s="1"/>
  <c r="Q49" i="3" s="1"/>
  <c r="R49" i="3" s="1"/>
  <c r="S49" i="3" s="1"/>
  <c r="T49" i="3" s="1"/>
  <c r="U49" i="3" s="1"/>
  <c r="V49" i="3" s="1"/>
  <c r="W49" i="3" s="1"/>
  <c r="X49" i="3" s="1"/>
  <c r="Y49" i="3" s="1"/>
  <c r="Z49" i="3" s="1"/>
  <c r="AA49" i="3" s="1"/>
  <c r="D82" i="3"/>
  <c r="E82" i="3" s="1"/>
  <c r="F82" i="3" s="1"/>
  <c r="G82" i="3" s="1"/>
  <c r="H82" i="3" s="1"/>
  <c r="I82" i="3" s="1"/>
  <c r="J82" i="3" s="1"/>
  <c r="K82" i="3" s="1"/>
  <c r="L82" i="3" s="1"/>
  <c r="M82" i="3" s="1"/>
  <c r="N82" i="3" s="1"/>
  <c r="O82" i="3" s="1"/>
  <c r="P82" i="3" s="1"/>
  <c r="Q82" i="3" s="1"/>
  <c r="R82" i="3" s="1"/>
  <c r="S82" i="3" s="1"/>
  <c r="T82" i="3" s="1"/>
  <c r="U82" i="3" s="1"/>
  <c r="V82" i="3" s="1"/>
  <c r="W82" i="3" s="1"/>
  <c r="X82" i="3" s="1"/>
  <c r="Y82" i="3" s="1"/>
  <c r="Z82" i="3" s="1"/>
  <c r="AA82" i="3" s="1"/>
  <c r="B149" i="2"/>
  <c r="B150" i="2"/>
  <c r="E152" i="2"/>
  <c r="F152" i="2" s="1"/>
  <c r="E48" i="2"/>
  <c r="F48" i="2" s="1"/>
  <c r="G48" i="2" s="1"/>
  <c r="H48" i="2" s="1"/>
  <c r="I48" i="2" s="1"/>
  <c r="J48" i="2" s="1"/>
  <c r="K48" i="2" s="1"/>
  <c r="L48" i="2" s="1"/>
  <c r="M48" i="2" s="1"/>
  <c r="N48" i="2" s="1"/>
  <c r="O48" i="2" s="1"/>
  <c r="P48" i="2" s="1"/>
  <c r="Q48" i="2" s="1"/>
  <c r="R48" i="2" s="1"/>
  <c r="S48" i="2" s="1"/>
  <c r="T48" i="2" s="1"/>
  <c r="U48" i="2" s="1"/>
  <c r="V48" i="2" s="1"/>
  <c r="W48" i="2" s="1"/>
  <c r="X48" i="2" s="1"/>
  <c r="Y48" i="2" s="1"/>
  <c r="Z48" i="2" s="1"/>
  <c r="AA48" i="2" s="1"/>
  <c r="AB48" i="2" s="1"/>
  <c r="E42" i="2"/>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E109" i="2"/>
  <c r="F109" i="2" s="1"/>
  <c r="G109" i="2" s="1"/>
  <c r="H109" i="2" s="1"/>
  <c r="I109" i="2" s="1"/>
  <c r="J109" i="2" s="1"/>
  <c r="K109" i="2" s="1"/>
  <c r="L109" i="2" s="1"/>
  <c r="M109" i="2" s="1"/>
  <c r="N109" i="2" s="1"/>
  <c r="O109" i="2" s="1"/>
  <c r="P109" i="2" s="1"/>
  <c r="Q109" i="2" s="1"/>
  <c r="R109" i="2" s="1"/>
  <c r="S109" i="2" s="1"/>
  <c r="T109" i="2" s="1"/>
  <c r="U109" i="2" s="1"/>
  <c r="V109" i="2" s="1"/>
  <c r="W109" i="2" s="1"/>
  <c r="X109" i="2" s="1"/>
  <c r="Y109" i="2" s="1"/>
  <c r="Z109" i="2" s="1"/>
  <c r="AA109" i="2" s="1"/>
  <c r="AB109" i="2" s="1"/>
  <c r="A87" i="2"/>
  <c r="A89" i="2"/>
  <c r="A91" i="2"/>
  <c r="A93" i="2"/>
  <c r="A95" i="2"/>
  <c r="A97" i="2"/>
  <c r="A85" i="2"/>
  <c r="A76" i="2"/>
  <c r="A81" i="2"/>
  <c r="A82" i="2"/>
  <c r="A77" i="2"/>
  <c r="A78" i="2"/>
  <c r="A79" i="2"/>
  <c r="A80" i="2"/>
  <c r="P229" i="3"/>
  <c r="P225" i="3"/>
  <c r="P226" i="3"/>
  <c r="P227" i="3"/>
  <c r="P228" i="3"/>
  <c r="D11" i="2"/>
  <c r="E60" i="2"/>
  <c r="F60" i="2" s="1"/>
  <c r="G60" i="2" s="1"/>
  <c r="H60" i="2" s="1"/>
  <c r="I60" i="2" s="1"/>
  <c r="J60" i="2" s="1"/>
  <c r="K60" i="2" s="1"/>
  <c r="L60" i="2" s="1"/>
  <c r="M60" i="2" s="1"/>
  <c r="N60" i="2" s="1"/>
  <c r="O60" i="2" s="1"/>
  <c r="P60" i="2" s="1"/>
  <c r="Q60" i="2" s="1"/>
  <c r="R60" i="2" s="1"/>
  <c r="S60" i="2" s="1"/>
  <c r="T60" i="2" s="1"/>
  <c r="U60" i="2" s="1"/>
  <c r="V60" i="2" s="1"/>
  <c r="W60" i="2" s="1"/>
  <c r="X60" i="2" s="1"/>
  <c r="Y60" i="2" s="1"/>
  <c r="Z60" i="2" s="1"/>
  <c r="AA60" i="2" s="1"/>
  <c r="AB60" i="2" s="1"/>
  <c r="A11" i="3"/>
  <c r="A19" i="3"/>
  <c r="P223" i="3" l="1"/>
  <c r="K114" i="1"/>
  <c r="AG114" i="1"/>
  <c r="F104" i="1"/>
  <c r="G104" i="1" s="1"/>
  <c r="AG104" i="1"/>
  <c r="F109" i="1"/>
  <c r="G109" i="1" s="1"/>
  <c r="AG109" i="1"/>
  <c r="F107" i="1"/>
  <c r="G107" i="1" s="1"/>
  <c r="AG107" i="1"/>
  <c r="F112" i="1"/>
  <c r="G112" i="1" s="1"/>
  <c r="AG112" i="1"/>
  <c r="F111" i="1"/>
  <c r="G111" i="1" s="1"/>
  <c r="AG111" i="1"/>
  <c r="F106" i="1"/>
  <c r="G106" i="1" s="1"/>
  <c r="H106" i="1" s="1"/>
  <c r="I106" i="1" s="1"/>
  <c r="J106" i="1" s="1"/>
  <c r="AG106" i="1"/>
  <c r="F113" i="1"/>
  <c r="G113" i="1" s="1"/>
  <c r="H113" i="1" s="1"/>
  <c r="I113" i="1" s="1"/>
  <c r="AG113" i="1"/>
  <c r="F110" i="1"/>
  <c r="G110" i="1" s="1"/>
  <c r="H110" i="1" s="1"/>
  <c r="I110" i="1" s="1"/>
  <c r="J110" i="1" s="1"/>
  <c r="AG110" i="1"/>
  <c r="F105" i="1"/>
  <c r="G105" i="1" s="1"/>
  <c r="AG105" i="1"/>
  <c r="P224" i="3"/>
  <c r="G108" i="1"/>
  <c r="H108" i="1" s="1"/>
  <c r="F99" i="1"/>
  <c r="F101" i="1"/>
  <c r="F102" i="1"/>
  <c r="F103" i="1"/>
  <c r="K115" i="1"/>
  <c r="G152" i="2"/>
  <c r="H152" i="2" s="1"/>
  <c r="I152" i="2" s="1"/>
  <c r="J152" i="2" s="1"/>
  <c r="K152" i="2" s="1"/>
  <c r="L152" i="2" s="1"/>
  <c r="M152" i="2" s="1"/>
  <c r="N152" i="2" s="1"/>
  <c r="O152" i="2" s="1"/>
  <c r="P152" i="2" s="1"/>
  <c r="Q152" i="2" s="1"/>
  <c r="R152" i="2" s="1"/>
  <c r="S152" i="2" s="1"/>
  <c r="T152" i="2" s="1"/>
  <c r="U152" i="2" s="1"/>
  <c r="V152" i="2" s="1"/>
  <c r="W152" i="2" s="1"/>
  <c r="X152" i="2" s="1"/>
  <c r="Y152" i="2" s="1"/>
  <c r="Z152" i="2" s="1"/>
  <c r="AA152" i="2" s="1"/>
  <c r="AB152" i="2" s="1"/>
  <c r="B251" i="1"/>
  <c r="B234" i="1"/>
  <c r="B237" i="1"/>
  <c r="E91" i="1"/>
  <c r="AG91" i="1" s="1"/>
  <c r="E36" i="1"/>
  <c r="AG36" i="1" s="1"/>
  <c r="E35" i="1"/>
  <c r="AG35" i="1" s="1"/>
  <c r="E55" i="1"/>
  <c r="AG55" i="1" s="1"/>
  <c r="E73" i="1"/>
  <c r="E72" i="1"/>
  <c r="F250" i="1"/>
  <c r="E250" i="1"/>
  <c r="C250" i="1"/>
  <c r="P230" i="3" l="1"/>
  <c r="H109" i="1"/>
  <c r="I109" i="1" s="1"/>
  <c r="J109" i="1" s="1"/>
  <c r="K109" i="1" s="1"/>
  <c r="H107" i="1"/>
  <c r="I107" i="1" s="1"/>
  <c r="J107" i="1" s="1"/>
  <c r="H105" i="1"/>
  <c r="I105" i="1" s="1"/>
  <c r="H111" i="1"/>
  <c r="I111" i="1" s="1"/>
  <c r="F73" i="1"/>
  <c r="G73" i="1" s="1"/>
  <c r="H73" i="1" s="1"/>
  <c r="AG73" i="1"/>
  <c r="F72" i="1"/>
  <c r="G72" i="1" s="1"/>
  <c r="AG72" i="1"/>
  <c r="H112" i="1"/>
  <c r="I112" i="1" s="1"/>
  <c r="J112" i="1" s="1"/>
  <c r="K112" i="1" s="1"/>
  <c r="K106" i="1"/>
  <c r="G101" i="1"/>
  <c r="G102" i="1"/>
  <c r="I108" i="1"/>
  <c r="J108" i="1" s="1"/>
  <c r="K108" i="1" s="1"/>
  <c r="G99" i="1"/>
  <c r="H104" i="1"/>
  <c r="I104" i="1" s="1"/>
  <c r="G103" i="1"/>
  <c r="J113" i="1"/>
  <c r="K113" i="1" s="1"/>
  <c r="K110" i="1"/>
  <c r="D110" i="3"/>
  <c r="E110" i="3" s="1"/>
  <c r="F110" i="3" s="1"/>
  <c r="G110" i="3" s="1"/>
  <c r="H110" i="3" s="1"/>
  <c r="I110" i="3" s="1"/>
  <c r="J110" i="3" s="1"/>
  <c r="K110" i="3" s="1"/>
  <c r="L110" i="3" s="1"/>
  <c r="M110" i="3" s="1"/>
  <c r="N110" i="3" s="1"/>
  <c r="O110" i="3" s="1"/>
  <c r="P110" i="3" s="1"/>
  <c r="Q110" i="3" s="1"/>
  <c r="R110" i="3" s="1"/>
  <c r="S110" i="3" s="1"/>
  <c r="T110" i="3" s="1"/>
  <c r="U110" i="3" s="1"/>
  <c r="V110" i="3" s="1"/>
  <c r="W110" i="3" s="1"/>
  <c r="X110" i="3" s="1"/>
  <c r="Y110" i="3" s="1"/>
  <c r="Z110" i="3" s="1"/>
  <c r="AA110" i="3" s="1"/>
  <c r="A135" i="7"/>
  <c r="A138" i="7"/>
  <c r="A139" i="7"/>
  <c r="A140" i="7"/>
  <c r="A141" i="7"/>
  <c r="A142" i="7"/>
  <c r="A143" i="7"/>
  <c r="A144" i="7"/>
  <c r="A137" i="7"/>
  <c r="A127" i="7"/>
  <c r="A128" i="7"/>
  <c r="A130" i="7"/>
  <c r="D150" i="1"/>
  <c r="E150" i="1" s="1"/>
  <c r="F150" i="1" s="1"/>
  <c r="G150" i="1" s="1"/>
  <c r="B167" i="2"/>
  <c r="E97" i="1"/>
  <c r="E96" i="1"/>
  <c r="AG96" i="1" s="1"/>
  <c r="E95" i="1"/>
  <c r="AG95" i="1" s="1"/>
  <c r="E94" i="1"/>
  <c r="AG94" i="1" s="1"/>
  <c r="E93" i="1"/>
  <c r="AG93" i="1" s="1"/>
  <c r="E92" i="1"/>
  <c r="AG92" i="1" s="1"/>
  <c r="E89" i="1"/>
  <c r="AG89" i="1" s="1"/>
  <c r="E88" i="1"/>
  <c r="AG88" i="1" s="1"/>
  <c r="E87" i="1"/>
  <c r="AG87" i="1" s="1"/>
  <c r="E86" i="1"/>
  <c r="AG86" i="1" s="1"/>
  <c r="E85" i="1"/>
  <c r="E84" i="1"/>
  <c r="E81" i="1"/>
  <c r="AG81" i="1" s="1"/>
  <c r="E63" i="1"/>
  <c r="AG63" i="1" s="1"/>
  <c r="AI82" i="1"/>
  <c r="AH82" i="1"/>
  <c r="AI80" i="1"/>
  <c r="AH80" i="1"/>
  <c r="I185" i="1"/>
  <c r="I186" i="1"/>
  <c r="J185" i="1"/>
  <c r="J186" i="1"/>
  <c r="F224" i="1"/>
  <c r="E225" i="1"/>
  <c r="C224" i="1"/>
  <c r="L171" i="1"/>
  <c r="L170" i="1"/>
  <c r="I172" i="1"/>
  <c r="J172" i="1"/>
  <c r="H172" i="1"/>
  <c r="K170" i="1"/>
  <c r="K171" i="1"/>
  <c r="K169" i="1"/>
  <c r="G172" i="1"/>
  <c r="G171" i="1"/>
  <c r="G170" i="1"/>
  <c r="G169" i="1"/>
  <c r="B169" i="1"/>
  <c r="J105" i="1" l="1"/>
  <c r="K105" i="1" s="1"/>
  <c r="H72" i="1"/>
  <c r="I72" i="1" s="1"/>
  <c r="F84" i="1"/>
  <c r="G84" i="1" s="1"/>
  <c r="AG84" i="1"/>
  <c r="F85" i="1"/>
  <c r="AG85" i="1"/>
  <c r="K97" i="1"/>
  <c r="AG97" i="1"/>
  <c r="A153" i="7"/>
  <c r="A165" i="7" s="1"/>
  <c r="A151" i="7"/>
  <c r="A163" i="7" s="1"/>
  <c r="A149" i="7"/>
  <c r="A161" i="7" s="1"/>
  <c r="A152" i="7"/>
  <c r="A164" i="7" s="1"/>
  <c r="A154" i="7"/>
  <c r="A166" i="7" s="1"/>
  <c r="A150" i="7"/>
  <c r="A162" i="7" s="1"/>
  <c r="F223" i="1"/>
  <c r="G224" i="1" s="1"/>
  <c r="K107" i="1"/>
  <c r="H103" i="1"/>
  <c r="H101" i="1"/>
  <c r="I101" i="1" s="1"/>
  <c r="J101" i="1" s="1"/>
  <c r="K101" i="1" s="1"/>
  <c r="H99" i="1"/>
  <c r="I99" i="1" s="1"/>
  <c r="J104" i="1"/>
  <c r="K104" i="1" s="1"/>
  <c r="H102" i="1"/>
  <c r="I102" i="1" s="1"/>
  <c r="J102" i="1" s="1"/>
  <c r="J111" i="1"/>
  <c r="K111" i="1" s="1"/>
  <c r="B42" i="1"/>
  <c r="B41" i="7" s="1"/>
  <c r="B94" i="1"/>
  <c r="B93" i="7" s="1"/>
  <c r="B90" i="1"/>
  <c r="B89" i="7" s="1"/>
  <c r="B86" i="1"/>
  <c r="B85" i="7" s="1"/>
  <c r="B82" i="1"/>
  <c r="B81" i="7" s="1"/>
  <c r="B97" i="1"/>
  <c r="B96" i="7" s="1"/>
  <c r="B93" i="1"/>
  <c r="B92" i="7" s="1"/>
  <c r="B89" i="1"/>
  <c r="B88" i="7" s="1"/>
  <c r="B85" i="1"/>
  <c r="B84" i="7" s="1"/>
  <c r="B81" i="1"/>
  <c r="B80" i="7" s="1"/>
  <c r="B96" i="1"/>
  <c r="B95" i="7" s="1"/>
  <c r="B92" i="1"/>
  <c r="B91" i="7" s="1"/>
  <c r="B88" i="1"/>
  <c r="B87" i="7" s="1"/>
  <c r="B84" i="1"/>
  <c r="B83" i="7" s="1"/>
  <c r="B77" i="1"/>
  <c r="B95" i="1"/>
  <c r="B94" i="7" s="1"/>
  <c r="B91" i="1"/>
  <c r="B90" i="7" s="1"/>
  <c r="B87" i="1"/>
  <c r="B86" i="7" s="1"/>
  <c r="B83" i="1"/>
  <c r="B82" i="7" s="1"/>
  <c r="I73" i="1"/>
  <c r="J73" i="1" s="1"/>
  <c r="K73" i="1" s="1"/>
  <c r="F55" i="1"/>
  <c r="G55" i="1" s="1"/>
  <c r="F91" i="1"/>
  <c r="G91" i="1" s="1"/>
  <c r="F36" i="1"/>
  <c r="G36" i="1" s="1"/>
  <c r="F83" i="1"/>
  <c r="G83" i="1" s="1"/>
  <c r="K172" i="1"/>
  <c r="L169" i="1" s="1"/>
  <c r="F81" i="1"/>
  <c r="G85" i="1"/>
  <c r="F86" i="1"/>
  <c r="F87" i="1"/>
  <c r="F88" i="1"/>
  <c r="F89" i="1"/>
  <c r="F90" i="1"/>
  <c r="F92" i="1"/>
  <c r="F93" i="1"/>
  <c r="F94" i="1"/>
  <c r="F95" i="1"/>
  <c r="K96" i="1"/>
  <c r="D2" i="3"/>
  <c r="E2" i="3" s="1"/>
  <c r="F2" i="3" s="1"/>
  <c r="G2" i="3" s="1"/>
  <c r="H2" i="3" s="1"/>
  <c r="I2" i="3" s="1"/>
  <c r="J2" i="3" s="1"/>
  <c r="K2" i="3" s="1"/>
  <c r="L2" i="3" s="1"/>
  <c r="M2" i="3" s="1"/>
  <c r="N2" i="3" s="1"/>
  <c r="O2" i="3" s="1"/>
  <c r="P2" i="3" s="1"/>
  <c r="Q2" i="3" s="1"/>
  <c r="R2" i="3" s="1"/>
  <c r="S2" i="3" s="1"/>
  <c r="T2" i="3" s="1"/>
  <c r="U2" i="3" s="1"/>
  <c r="V2" i="3" s="1"/>
  <c r="W2" i="3" s="1"/>
  <c r="X2" i="3" s="1"/>
  <c r="Y2" i="3" s="1"/>
  <c r="Z2" i="3" s="1"/>
  <c r="AA2" i="3" s="1"/>
  <c r="A223" i="1"/>
  <c r="A224" i="1"/>
  <c r="D46" i="2"/>
  <c r="D51" i="2" s="1"/>
  <c r="H84" i="1" l="1"/>
  <c r="I84" i="1" s="1"/>
  <c r="J84" i="1" s="1"/>
  <c r="J72" i="1"/>
  <c r="K72" i="1" s="1"/>
  <c r="G223" i="1"/>
  <c r="H224" i="1" s="1"/>
  <c r="H223" i="1" s="1"/>
  <c r="F225" i="1"/>
  <c r="I103" i="1"/>
  <c r="J103" i="1" s="1"/>
  <c r="K103" i="1" s="1"/>
  <c r="J99" i="1"/>
  <c r="K99" i="1" s="1"/>
  <c r="K102" i="1"/>
  <c r="H91" i="1"/>
  <c r="I91" i="1" s="1"/>
  <c r="H55" i="1"/>
  <c r="H36" i="1"/>
  <c r="I36" i="1" s="1"/>
  <c r="H83" i="1"/>
  <c r="I83" i="1" s="1"/>
  <c r="J83" i="1" s="1"/>
  <c r="K83" i="1" s="1"/>
  <c r="G94" i="1"/>
  <c r="H94" i="1" s="1"/>
  <c r="G93" i="1"/>
  <c r="G92" i="1"/>
  <c r="H92" i="1" s="1"/>
  <c r="G90" i="1"/>
  <c r="G89" i="1"/>
  <c r="G88" i="1"/>
  <c r="G87" i="1"/>
  <c r="H87" i="1" s="1"/>
  <c r="G86" i="1"/>
  <c r="G81" i="1"/>
  <c r="G95" i="1"/>
  <c r="H85" i="1"/>
  <c r="I85" i="1" s="1"/>
  <c r="AH25" i="1"/>
  <c r="AH43" i="1"/>
  <c r="AH46" i="1"/>
  <c r="AH48" i="1"/>
  <c r="AH62" i="1"/>
  <c r="AH64" i="1"/>
  <c r="AH116" i="1"/>
  <c r="K84" i="1" l="1"/>
  <c r="I224" i="1"/>
  <c r="I223" i="1" s="1"/>
  <c r="I225" i="1" s="1"/>
  <c r="H225" i="1"/>
  <c r="G225" i="1"/>
  <c r="J91" i="1"/>
  <c r="K91" i="1" s="1"/>
  <c r="I55" i="1"/>
  <c r="J36" i="1"/>
  <c r="K36" i="1" s="1"/>
  <c r="J85" i="1"/>
  <c r="K85" i="1" s="1"/>
  <c r="I92" i="1"/>
  <c r="J92" i="1" s="1"/>
  <c r="K92" i="1" s="1"/>
  <c r="I87" i="1"/>
  <c r="J87" i="1" s="1"/>
  <c r="K87" i="1" s="1"/>
  <c r="H89" i="1"/>
  <c r="I89" i="1" s="1"/>
  <c r="H81" i="1"/>
  <c r="I81" i="1" s="1"/>
  <c r="H88" i="1"/>
  <c r="H93" i="1"/>
  <c r="I94" i="1"/>
  <c r="H95" i="1"/>
  <c r="H86" i="1"/>
  <c r="I86" i="1" s="1"/>
  <c r="H90" i="1"/>
  <c r="I90" i="1" s="1"/>
  <c r="AI25" i="1"/>
  <c r="AI43" i="1"/>
  <c r="AI46" i="1"/>
  <c r="AI48" i="1"/>
  <c r="AI62" i="1"/>
  <c r="AI64" i="1"/>
  <c r="AI116" i="1"/>
  <c r="B163" i="1"/>
  <c r="B162" i="1"/>
  <c r="B157" i="1"/>
  <c r="B156" i="1"/>
  <c r="B235" i="3" s="1"/>
  <c r="B143" i="1"/>
  <c r="B129" i="7" s="1"/>
  <c r="B144" i="1"/>
  <c r="B127" i="1"/>
  <c r="B128" i="1"/>
  <c r="B126" i="1"/>
  <c r="B145" i="1"/>
  <c r="B142" i="1"/>
  <c r="B128" i="7" s="1"/>
  <c r="E26" i="2"/>
  <c r="F26" i="2"/>
  <c r="G26" i="2"/>
  <c r="H26" i="2"/>
  <c r="H158" i="1"/>
  <c r="E23" i="2"/>
  <c r="F23" i="2"/>
  <c r="G23" i="2"/>
  <c r="H23" i="2"/>
  <c r="D23" i="2"/>
  <c r="D112" i="2" s="1"/>
  <c r="L23" i="1"/>
  <c r="E3" i="2"/>
  <c r="E18" i="2" s="1"/>
  <c r="H112" i="2" l="1"/>
  <c r="G112" i="2"/>
  <c r="F112" i="2"/>
  <c r="E112" i="2"/>
  <c r="B131" i="7"/>
  <c r="B130" i="7"/>
  <c r="L113" i="1"/>
  <c r="L112" i="1"/>
  <c r="L111" i="1"/>
  <c r="L110" i="1"/>
  <c r="L109" i="1"/>
  <c r="L108" i="1"/>
  <c r="L107" i="1"/>
  <c r="L106" i="1"/>
  <c r="L105" i="1"/>
  <c r="L104" i="1"/>
  <c r="L114" i="1"/>
  <c r="L101" i="1"/>
  <c r="L103" i="1"/>
  <c r="L100" i="1"/>
  <c r="L102" i="1"/>
  <c r="L99" i="1"/>
  <c r="L115" i="1"/>
  <c r="L98" i="1"/>
  <c r="E11" i="2"/>
  <c r="L91" i="1"/>
  <c r="J55" i="1"/>
  <c r="L36" i="1"/>
  <c r="J89" i="1"/>
  <c r="K89" i="1" s="1"/>
  <c r="L89" i="1" s="1"/>
  <c r="J90" i="1"/>
  <c r="K90" i="1" s="1"/>
  <c r="L90" i="1" s="1"/>
  <c r="I88" i="1"/>
  <c r="J88" i="1" s="1"/>
  <c r="J86" i="1"/>
  <c r="K86" i="1" s="1"/>
  <c r="I95" i="1"/>
  <c r="J95" i="1" s="1"/>
  <c r="K95" i="1" s="1"/>
  <c r="L97" i="1"/>
  <c r="L85" i="1"/>
  <c r="L84" i="1"/>
  <c r="L92" i="1"/>
  <c r="L87" i="1"/>
  <c r="L83" i="1"/>
  <c r="L96" i="1"/>
  <c r="L82" i="1"/>
  <c r="L80" i="1"/>
  <c r="J81" i="1"/>
  <c r="K81" i="1" s="1"/>
  <c r="L81" i="1" s="1"/>
  <c r="J94" i="1"/>
  <c r="K94" i="1" s="1"/>
  <c r="I93" i="1"/>
  <c r="L125" i="1"/>
  <c r="L116" i="1"/>
  <c r="L123" i="1"/>
  <c r="L62" i="1"/>
  <c r="L64" i="1"/>
  <c r="L48" i="1"/>
  <c r="L43" i="1"/>
  <c r="L46" i="1"/>
  <c r="L25" i="1"/>
  <c r="M23" i="1"/>
  <c r="F3" i="2"/>
  <c r="F18" i="2" s="1"/>
  <c r="M113" i="1" l="1"/>
  <c r="M112" i="1"/>
  <c r="M111" i="1"/>
  <c r="M110" i="1"/>
  <c r="M109" i="1"/>
  <c r="M108" i="1"/>
  <c r="M107" i="1"/>
  <c r="M106" i="1"/>
  <c r="M105" i="1"/>
  <c r="M104" i="1"/>
  <c r="M114" i="1"/>
  <c r="M103" i="1"/>
  <c r="M102" i="1"/>
  <c r="M101" i="1"/>
  <c r="M100" i="1"/>
  <c r="M115" i="1"/>
  <c r="M98" i="1"/>
  <c r="M99" i="1"/>
  <c r="F11" i="2"/>
  <c r="L73" i="1"/>
  <c r="M91" i="1"/>
  <c r="M73" i="1"/>
  <c r="M36" i="1"/>
  <c r="K55" i="1"/>
  <c r="L55" i="1" s="1"/>
  <c r="K88" i="1"/>
  <c r="L88" i="1" s="1"/>
  <c r="L94" i="1"/>
  <c r="L95" i="1"/>
  <c r="J93" i="1"/>
  <c r="L86" i="1"/>
  <c r="M97" i="1"/>
  <c r="M85" i="1"/>
  <c r="M84" i="1"/>
  <c r="M83" i="1"/>
  <c r="M82" i="1"/>
  <c r="M92" i="1"/>
  <c r="M87" i="1"/>
  <c r="M81" i="1"/>
  <c r="M95" i="1"/>
  <c r="M90" i="1"/>
  <c r="M86" i="1"/>
  <c r="M80" i="1"/>
  <c r="M96" i="1"/>
  <c r="M94" i="1"/>
  <c r="M89" i="1"/>
  <c r="M116" i="1"/>
  <c r="M123" i="1"/>
  <c r="M125" i="1"/>
  <c r="M64" i="1"/>
  <c r="M48" i="1"/>
  <c r="M62" i="1"/>
  <c r="M46" i="1"/>
  <c r="M43" i="1"/>
  <c r="M25" i="1"/>
  <c r="N23" i="1"/>
  <c r="G3" i="2"/>
  <c r="G18" i="2" s="1"/>
  <c r="N114" i="1" l="1"/>
  <c r="N115" i="1"/>
  <c r="N113" i="1"/>
  <c r="N111" i="1"/>
  <c r="N109" i="1"/>
  <c r="N107" i="1"/>
  <c r="N105" i="1"/>
  <c r="N103" i="1"/>
  <c r="N102" i="1"/>
  <c r="N101" i="1"/>
  <c r="N100" i="1"/>
  <c r="N98" i="1"/>
  <c r="N99" i="1"/>
  <c r="N106" i="1"/>
  <c r="N110" i="1"/>
  <c r="N104" i="1"/>
  <c r="N108" i="1"/>
  <c r="N112" i="1"/>
  <c r="G11" i="2"/>
  <c r="N91" i="1"/>
  <c r="N73" i="1"/>
  <c r="M88" i="1"/>
  <c r="N36" i="1"/>
  <c r="N55" i="1"/>
  <c r="M55" i="1"/>
  <c r="K93" i="1"/>
  <c r="N93" i="1" s="1"/>
  <c r="N95" i="1"/>
  <c r="N94" i="1"/>
  <c r="N92" i="1"/>
  <c r="N90" i="1"/>
  <c r="N89" i="1"/>
  <c r="N88" i="1"/>
  <c r="N87" i="1"/>
  <c r="N86" i="1"/>
  <c r="N97" i="1"/>
  <c r="N96" i="1"/>
  <c r="N81" i="1"/>
  <c r="N83" i="1"/>
  <c r="N80" i="1"/>
  <c r="N85" i="1"/>
  <c r="N82" i="1"/>
  <c r="N84" i="1"/>
  <c r="N123" i="1"/>
  <c r="N125" i="1"/>
  <c r="N64" i="1"/>
  <c r="N62" i="1"/>
  <c r="N116" i="1"/>
  <c r="N46" i="1"/>
  <c r="N48" i="1"/>
  <c r="N43" i="1"/>
  <c r="N25" i="1"/>
  <c r="O23" i="1"/>
  <c r="H3" i="2"/>
  <c r="H18" i="2" s="1"/>
  <c r="O115" i="1" l="1"/>
  <c r="O114" i="1"/>
  <c r="O99" i="1"/>
  <c r="O112" i="1"/>
  <c r="O110" i="1"/>
  <c r="O108" i="1"/>
  <c r="O106" i="1"/>
  <c r="O104" i="1"/>
  <c r="O107" i="1"/>
  <c r="O102" i="1"/>
  <c r="O105" i="1"/>
  <c r="O101" i="1"/>
  <c r="O98" i="1"/>
  <c r="O109" i="1"/>
  <c r="O103" i="1"/>
  <c r="O100" i="1"/>
  <c r="O111" i="1"/>
  <c r="O113" i="1"/>
  <c r="H11" i="2"/>
  <c r="O91" i="1"/>
  <c r="O73" i="1"/>
  <c r="O36" i="1"/>
  <c r="O55" i="1"/>
  <c r="M93" i="1"/>
  <c r="L93" i="1"/>
  <c r="O96" i="1"/>
  <c r="O95" i="1"/>
  <c r="O94" i="1"/>
  <c r="O93" i="1"/>
  <c r="O92" i="1"/>
  <c r="O90" i="1"/>
  <c r="O89" i="1"/>
  <c r="O88" i="1"/>
  <c r="O87" i="1"/>
  <c r="O86" i="1"/>
  <c r="O97" i="1"/>
  <c r="O85" i="1"/>
  <c r="O82" i="1"/>
  <c r="O83" i="1"/>
  <c r="O81" i="1"/>
  <c r="O84" i="1"/>
  <c r="O80" i="1"/>
  <c r="O125" i="1"/>
  <c r="O116" i="1"/>
  <c r="O62" i="1"/>
  <c r="O123" i="1"/>
  <c r="O64" i="1"/>
  <c r="O48" i="1"/>
  <c r="O25" i="1"/>
  <c r="O43" i="1"/>
  <c r="O46" i="1"/>
  <c r="P23" i="1"/>
  <c r="I3" i="2"/>
  <c r="I18" i="2" s="1"/>
  <c r="P113" i="1" l="1"/>
  <c r="P112" i="1"/>
  <c r="P111" i="1"/>
  <c r="P110" i="1"/>
  <c r="P109" i="1"/>
  <c r="P108" i="1"/>
  <c r="P107" i="1"/>
  <c r="P106" i="1"/>
  <c r="P105" i="1"/>
  <c r="P104" i="1"/>
  <c r="P115" i="1"/>
  <c r="P103" i="1"/>
  <c r="P100" i="1"/>
  <c r="P114" i="1"/>
  <c r="P102" i="1"/>
  <c r="P99" i="1"/>
  <c r="P101" i="1"/>
  <c r="P98" i="1"/>
  <c r="P154" i="2"/>
  <c r="P127" i="2" s="1"/>
  <c r="P132" i="2" s="1"/>
  <c r="I11" i="2"/>
  <c r="P91" i="1"/>
  <c r="P73" i="1"/>
  <c r="P36" i="1"/>
  <c r="P55" i="1"/>
  <c r="P97" i="1"/>
  <c r="P85" i="1"/>
  <c r="P84" i="1"/>
  <c r="P96" i="1"/>
  <c r="P95" i="1"/>
  <c r="P94" i="1"/>
  <c r="P93" i="1"/>
  <c r="P92" i="1"/>
  <c r="P90" i="1"/>
  <c r="P89" i="1"/>
  <c r="P88" i="1"/>
  <c r="P87" i="1"/>
  <c r="P86" i="1"/>
  <c r="P83" i="1"/>
  <c r="P81" i="1"/>
  <c r="P80" i="1"/>
  <c r="P82" i="1"/>
  <c r="P125" i="1"/>
  <c r="P116" i="1"/>
  <c r="P123" i="1"/>
  <c r="P62" i="1"/>
  <c r="P64" i="1"/>
  <c r="P48" i="1"/>
  <c r="P43" i="1"/>
  <c r="P46" i="1"/>
  <c r="P25" i="1"/>
  <c r="Q23" i="1"/>
  <c r="J3" i="2"/>
  <c r="J18" i="2" s="1"/>
  <c r="Q113" i="1" l="1"/>
  <c r="Q112" i="1"/>
  <c r="Q111" i="1"/>
  <c r="Q110" i="1"/>
  <c r="Q109" i="1"/>
  <c r="Q108" i="1"/>
  <c r="Q107" i="1"/>
  <c r="Q106" i="1"/>
  <c r="Q105" i="1"/>
  <c r="Q104" i="1"/>
  <c r="Q114" i="1"/>
  <c r="Q115" i="1"/>
  <c r="Q103" i="1"/>
  <c r="Q102" i="1"/>
  <c r="Q101" i="1"/>
  <c r="Q100" i="1"/>
  <c r="Q98" i="1"/>
  <c r="Q99" i="1"/>
  <c r="Q154" i="2"/>
  <c r="Q127" i="2" s="1"/>
  <c r="Q132" i="2" s="1"/>
  <c r="J11" i="2"/>
  <c r="Q91" i="1"/>
  <c r="Q73" i="1"/>
  <c r="Q36" i="1"/>
  <c r="Q55" i="1"/>
  <c r="Q97" i="1"/>
  <c r="Q85" i="1"/>
  <c r="Q84" i="1"/>
  <c r="Q83" i="1"/>
  <c r="Q82" i="1"/>
  <c r="Q95" i="1"/>
  <c r="Q90" i="1"/>
  <c r="Q86" i="1"/>
  <c r="Q96" i="1"/>
  <c r="Q94" i="1"/>
  <c r="Q89" i="1"/>
  <c r="Q81" i="1"/>
  <c r="Q80" i="1"/>
  <c r="Q92" i="1"/>
  <c r="Q93" i="1"/>
  <c r="Q88" i="1"/>
  <c r="Q87" i="1"/>
  <c r="Q116" i="1"/>
  <c r="Q123" i="1"/>
  <c r="Q64" i="1"/>
  <c r="Q125" i="1"/>
  <c r="Q62" i="1"/>
  <c r="Q48" i="1"/>
  <c r="Q46" i="1"/>
  <c r="Q25" i="1"/>
  <c r="Q43" i="1"/>
  <c r="R23" i="1"/>
  <c r="K3" i="2"/>
  <c r="K18" i="2" s="1"/>
  <c r="R114" i="1" l="1"/>
  <c r="R115" i="1"/>
  <c r="R112" i="1"/>
  <c r="R110" i="1"/>
  <c r="R108" i="1"/>
  <c r="R106" i="1"/>
  <c r="R104" i="1"/>
  <c r="R103" i="1"/>
  <c r="R102" i="1"/>
  <c r="R101" i="1"/>
  <c r="R100" i="1"/>
  <c r="R98" i="1"/>
  <c r="R99" i="1"/>
  <c r="R109" i="1"/>
  <c r="R113" i="1"/>
  <c r="R107" i="1"/>
  <c r="R111" i="1"/>
  <c r="R105" i="1"/>
  <c r="R154" i="2"/>
  <c r="R127" i="2" s="1"/>
  <c r="R132" i="2" s="1"/>
  <c r="K11" i="2"/>
  <c r="R91" i="1"/>
  <c r="R73" i="1"/>
  <c r="R36" i="1"/>
  <c r="R55" i="1"/>
  <c r="R95" i="1"/>
  <c r="R94" i="1"/>
  <c r="R93" i="1"/>
  <c r="R92" i="1"/>
  <c r="R90" i="1"/>
  <c r="R89" i="1"/>
  <c r="R88" i="1"/>
  <c r="R87" i="1"/>
  <c r="R86" i="1"/>
  <c r="R97" i="1"/>
  <c r="R81" i="1"/>
  <c r="R96" i="1"/>
  <c r="R84" i="1"/>
  <c r="R80" i="1"/>
  <c r="R83" i="1"/>
  <c r="R85" i="1"/>
  <c r="R82" i="1"/>
  <c r="R123" i="1"/>
  <c r="R125" i="1"/>
  <c r="R64" i="1"/>
  <c r="R116" i="1"/>
  <c r="R62" i="1"/>
  <c r="R48" i="1"/>
  <c r="R43" i="1"/>
  <c r="R46" i="1"/>
  <c r="R25" i="1"/>
  <c r="S23" i="1"/>
  <c r="L3" i="2"/>
  <c r="L18" i="2" s="1"/>
  <c r="S115" i="1" l="1"/>
  <c r="S99" i="1"/>
  <c r="S113" i="1"/>
  <c r="S111" i="1"/>
  <c r="S109" i="1"/>
  <c r="S107" i="1"/>
  <c r="S105" i="1"/>
  <c r="S114" i="1"/>
  <c r="S108" i="1"/>
  <c r="S102" i="1"/>
  <c r="S104" i="1"/>
  <c r="S103" i="1"/>
  <c r="S100" i="1"/>
  <c r="S110" i="1"/>
  <c r="S101" i="1"/>
  <c r="S98" i="1"/>
  <c r="S112" i="1"/>
  <c r="S106" i="1"/>
  <c r="S154" i="2"/>
  <c r="S127" i="2" s="1"/>
  <c r="S132" i="2" s="1"/>
  <c r="L11" i="2"/>
  <c r="S91" i="1"/>
  <c r="S73" i="1"/>
  <c r="S36" i="1"/>
  <c r="S55" i="1"/>
  <c r="S96" i="1"/>
  <c r="S97" i="1"/>
  <c r="S94" i="1"/>
  <c r="S89" i="1"/>
  <c r="S83" i="1"/>
  <c r="S81" i="1"/>
  <c r="S93" i="1"/>
  <c r="S88" i="1"/>
  <c r="S82" i="1"/>
  <c r="S95" i="1"/>
  <c r="S92" i="1"/>
  <c r="S87" i="1"/>
  <c r="S85" i="1"/>
  <c r="S90" i="1"/>
  <c r="S86" i="1"/>
  <c r="S84" i="1"/>
  <c r="S80" i="1"/>
  <c r="S125" i="1"/>
  <c r="S116" i="1"/>
  <c r="S123" i="1"/>
  <c r="S62" i="1"/>
  <c r="S64" i="1"/>
  <c r="S48" i="1"/>
  <c r="S25" i="1"/>
  <c r="S43" i="1"/>
  <c r="S46" i="1"/>
  <c r="T23" i="1"/>
  <c r="M3" i="2"/>
  <c r="M18" i="2" s="1"/>
  <c r="T113" i="1" l="1"/>
  <c r="T112" i="1"/>
  <c r="T111" i="1"/>
  <c r="T110" i="1"/>
  <c r="T109" i="1"/>
  <c r="T108" i="1"/>
  <c r="T107" i="1"/>
  <c r="T106" i="1"/>
  <c r="T105" i="1"/>
  <c r="T104" i="1"/>
  <c r="T114" i="1"/>
  <c r="T101" i="1"/>
  <c r="T98" i="1"/>
  <c r="T100" i="1"/>
  <c r="T115" i="1"/>
  <c r="T103" i="1"/>
  <c r="T102" i="1"/>
  <c r="T99" i="1"/>
  <c r="T154" i="2"/>
  <c r="T127" i="2" s="1"/>
  <c r="T132" i="2" s="1"/>
  <c r="M11" i="2"/>
  <c r="T91" i="1"/>
  <c r="T73" i="1"/>
  <c r="T36" i="1"/>
  <c r="T55" i="1"/>
  <c r="T97" i="1"/>
  <c r="T96" i="1"/>
  <c r="T95" i="1"/>
  <c r="T94" i="1"/>
  <c r="T93" i="1"/>
  <c r="T92" i="1"/>
  <c r="T90" i="1"/>
  <c r="T89" i="1"/>
  <c r="T88" i="1"/>
  <c r="T87" i="1"/>
  <c r="T86" i="1"/>
  <c r="T85" i="1"/>
  <c r="T84" i="1"/>
  <c r="T83" i="1"/>
  <c r="T82" i="1"/>
  <c r="T81" i="1"/>
  <c r="T80" i="1"/>
  <c r="U23" i="1"/>
  <c r="T125" i="1"/>
  <c r="T116" i="1"/>
  <c r="T123" i="1"/>
  <c r="T62" i="1"/>
  <c r="T64" i="1"/>
  <c r="T48" i="1"/>
  <c r="T43" i="1"/>
  <c r="T46" i="1"/>
  <c r="T25" i="1"/>
  <c r="N3" i="2"/>
  <c r="N18" i="2" s="1"/>
  <c r="U113" i="1" l="1"/>
  <c r="U112" i="1"/>
  <c r="U111" i="1"/>
  <c r="U110" i="1"/>
  <c r="U109" i="1"/>
  <c r="U108" i="1"/>
  <c r="U107" i="1"/>
  <c r="U106" i="1"/>
  <c r="U105" i="1"/>
  <c r="U104" i="1"/>
  <c r="U114" i="1"/>
  <c r="U103" i="1"/>
  <c r="U102" i="1"/>
  <c r="U101" i="1"/>
  <c r="U100" i="1"/>
  <c r="U98" i="1"/>
  <c r="U115" i="1"/>
  <c r="U99" i="1"/>
  <c r="U154" i="2"/>
  <c r="U127" i="2" s="1"/>
  <c r="U132" i="2" s="1"/>
  <c r="N11" i="2"/>
  <c r="U91" i="1"/>
  <c r="U73" i="1"/>
  <c r="U36" i="1"/>
  <c r="U55" i="1"/>
  <c r="U97" i="1"/>
  <c r="U96" i="1"/>
  <c r="U95" i="1"/>
  <c r="U94" i="1"/>
  <c r="U93" i="1"/>
  <c r="U92" i="1"/>
  <c r="U90" i="1"/>
  <c r="U89" i="1"/>
  <c r="U88" i="1"/>
  <c r="U87" i="1"/>
  <c r="U86" i="1"/>
  <c r="U85" i="1"/>
  <c r="U84" i="1"/>
  <c r="U83" i="1"/>
  <c r="U82" i="1"/>
  <c r="U80" i="1"/>
  <c r="U81" i="1"/>
  <c r="V23" i="1"/>
  <c r="U116" i="1"/>
  <c r="U123" i="1"/>
  <c r="U64" i="1"/>
  <c r="U125" i="1"/>
  <c r="U48" i="1"/>
  <c r="U46" i="1"/>
  <c r="U43" i="1"/>
  <c r="U62" i="1"/>
  <c r="U25" i="1"/>
  <c r="O3" i="2"/>
  <c r="O18" i="2" s="1"/>
  <c r="V114" i="1" l="1"/>
  <c r="V115" i="1"/>
  <c r="V113" i="1"/>
  <c r="V111" i="1"/>
  <c r="V109" i="1"/>
  <c r="V107" i="1"/>
  <c r="V105" i="1"/>
  <c r="V103" i="1"/>
  <c r="V102" i="1"/>
  <c r="V101" i="1"/>
  <c r="V100" i="1"/>
  <c r="V98" i="1"/>
  <c r="V99" i="1"/>
  <c r="V110" i="1"/>
  <c r="V108" i="1"/>
  <c r="V112" i="1"/>
  <c r="V104" i="1"/>
  <c r="V106" i="1"/>
  <c r="V154" i="2"/>
  <c r="V127" i="2" s="1"/>
  <c r="V132" i="2" s="1"/>
  <c r="O11" i="2"/>
  <c r="V91" i="1"/>
  <c r="V73" i="1"/>
  <c r="V36" i="1"/>
  <c r="V55" i="1"/>
  <c r="W23" i="1"/>
  <c r="V95" i="1"/>
  <c r="V94" i="1"/>
  <c r="V93" i="1"/>
  <c r="V92" i="1"/>
  <c r="V90" i="1"/>
  <c r="V89" i="1"/>
  <c r="V88" i="1"/>
  <c r="V87" i="1"/>
  <c r="V86" i="1"/>
  <c r="V97" i="1"/>
  <c r="V81" i="1"/>
  <c r="V80" i="1"/>
  <c r="V85" i="1"/>
  <c r="V82" i="1"/>
  <c r="V84" i="1"/>
  <c r="V96" i="1"/>
  <c r="V83" i="1"/>
  <c r="V123" i="1"/>
  <c r="V125" i="1"/>
  <c r="V64" i="1"/>
  <c r="V116" i="1"/>
  <c r="V62" i="1"/>
  <c r="V48" i="1"/>
  <c r="V46" i="1"/>
  <c r="V43" i="1"/>
  <c r="V25" i="1"/>
  <c r="P3" i="2"/>
  <c r="P18" i="2" s="1"/>
  <c r="W64" i="1" l="1"/>
  <c r="W115" i="1"/>
  <c r="W114" i="1"/>
  <c r="W99" i="1"/>
  <c r="W112" i="1"/>
  <c r="W110" i="1"/>
  <c r="W108" i="1"/>
  <c r="W106" i="1"/>
  <c r="W104" i="1"/>
  <c r="W111" i="1"/>
  <c r="W107" i="1"/>
  <c r="W109" i="1"/>
  <c r="W113" i="1"/>
  <c r="W105" i="1"/>
  <c r="W103" i="1"/>
  <c r="W100" i="1"/>
  <c r="W102" i="1"/>
  <c r="W101" i="1"/>
  <c r="W98" i="1"/>
  <c r="W125" i="1"/>
  <c r="X23" i="1"/>
  <c r="W154" i="2"/>
  <c r="W127" i="2" s="1"/>
  <c r="W132" i="2" s="1"/>
  <c r="P11" i="2"/>
  <c r="W43" i="1"/>
  <c r="W62" i="1"/>
  <c r="W46" i="1"/>
  <c r="W91" i="1"/>
  <c r="W73" i="1"/>
  <c r="W25" i="1"/>
  <c r="W123" i="1"/>
  <c r="W48" i="1"/>
  <c r="W116" i="1"/>
  <c r="W36" i="1"/>
  <c r="W55" i="1"/>
  <c r="W96" i="1"/>
  <c r="W97" i="1"/>
  <c r="W93" i="1"/>
  <c r="W88" i="1"/>
  <c r="W85" i="1"/>
  <c r="W92" i="1"/>
  <c r="W87" i="1"/>
  <c r="W84" i="1"/>
  <c r="W81" i="1"/>
  <c r="W94" i="1"/>
  <c r="W95" i="1"/>
  <c r="W90" i="1"/>
  <c r="W86" i="1"/>
  <c r="W83" i="1"/>
  <c r="W82" i="1"/>
  <c r="W89" i="1"/>
  <c r="W80" i="1"/>
  <c r="Q3" i="2"/>
  <c r="Q18" i="2" s="1"/>
  <c r="X73" i="1" l="1"/>
  <c r="X91" i="1"/>
  <c r="X116" i="1"/>
  <c r="X95" i="1"/>
  <c r="X48" i="1"/>
  <c r="X88" i="1"/>
  <c r="X55" i="1"/>
  <c r="X97" i="1"/>
  <c r="X80" i="1"/>
  <c r="X25" i="1"/>
  <c r="X64" i="1"/>
  <c r="X125" i="1"/>
  <c r="X89" i="1"/>
  <c r="X93" i="1"/>
  <c r="X81" i="1"/>
  <c r="Y23" i="1"/>
  <c r="Y111" i="1" s="1"/>
  <c r="X36" i="1"/>
  <c r="X46" i="1"/>
  <c r="X62" i="1"/>
  <c r="X94" i="1"/>
  <c r="X82" i="1"/>
  <c r="X92" i="1"/>
  <c r="X43" i="1"/>
  <c r="X123" i="1"/>
  <c r="X96" i="1"/>
  <c r="X90" i="1"/>
  <c r="X83" i="1"/>
  <c r="X84" i="1"/>
  <c r="X86" i="1"/>
  <c r="X87" i="1"/>
  <c r="X85" i="1"/>
  <c r="X113" i="1"/>
  <c r="X112" i="1"/>
  <c r="X111" i="1"/>
  <c r="X110" i="1"/>
  <c r="X109" i="1"/>
  <c r="X108" i="1"/>
  <c r="X107" i="1"/>
  <c r="X106" i="1"/>
  <c r="X105" i="1"/>
  <c r="X104" i="1"/>
  <c r="X115" i="1"/>
  <c r="X103" i="1"/>
  <c r="X100" i="1"/>
  <c r="X101" i="1"/>
  <c r="X98" i="1"/>
  <c r="X114" i="1"/>
  <c r="X102" i="1"/>
  <c r="X99" i="1"/>
  <c r="X154" i="2"/>
  <c r="X127" i="2" s="1"/>
  <c r="X132" i="2" s="1"/>
  <c r="Q11" i="2"/>
  <c r="R3" i="2"/>
  <c r="R18" i="2" s="1"/>
  <c r="Y113" i="1" l="1"/>
  <c r="Y86" i="1"/>
  <c r="Y95" i="1"/>
  <c r="Z23" i="1"/>
  <c r="Z115" i="1" s="1"/>
  <c r="Y98" i="1"/>
  <c r="Y123" i="1"/>
  <c r="Y105" i="1"/>
  <c r="Y80" i="1"/>
  <c r="Y108" i="1"/>
  <c r="Y55" i="1"/>
  <c r="Y102" i="1"/>
  <c r="Y82" i="1"/>
  <c r="Y90" i="1"/>
  <c r="Y36" i="1"/>
  <c r="Y43" i="1"/>
  <c r="Y103" i="1"/>
  <c r="Y109" i="1"/>
  <c r="Y89" i="1"/>
  <c r="Y64" i="1"/>
  <c r="Y85" i="1"/>
  <c r="Y94" i="1"/>
  <c r="Y62" i="1"/>
  <c r="Y46" i="1"/>
  <c r="Y99" i="1"/>
  <c r="Y104" i="1"/>
  <c r="Y112" i="1"/>
  <c r="Y83" i="1"/>
  <c r="Y87" i="1"/>
  <c r="Y92" i="1"/>
  <c r="Y96" i="1"/>
  <c r="Y73" i="1"/>
  <c r="Y125" i="1"/>
  <c r="Y116" i="1"/>
  <c r="Y100" i="1"/>
  <c r="Y115" i="1"/>
  <c r="Y106" i="1"/>
  <c r="Y110" i="1"/>
  <c r="Y81" i="1"/>
  <c r="Y84" i="1"/>
  <c r="Y88" i="1"/>
  <c r="Y93" i="1"/>
  <c r="Y97" i="1"/>
  <c r="Y91" i="1"/>
  <c r="Y25" i="1"/>
  <c r="Y48" i="1"/>
  <c r="Y101" i="1"/>
  <c r="Y114" i="1"/>
  <c r="Y107" i="1"/>
  <c r="Y154" i="2"/>
  <c r="Y127" i="2" s="1"/>
  <c r="Y132" i="2" s="1"/>
  <c r="R11" i="2"/>
  <c r="S3" i="2"/>
  <c r="S18" i="2" s="1"/>
  <c r="Z114" i="1" l="1"/>
  <c r="Z125" i="1"/>
  <c r="Z87" i="1"/>
  <c r="Z64" i="1"/>
  <c r="Z73" i="1"/>
  <c r="Z107" i="1"/>
  <c r="Z82" i="1"/>
  <c r="Z84" i="1"/>
  <c r="Z98" i="1"/>
  <c r="Z25" i="1"/>
  <c r="AA23" i="1"/>
  <c r="AA81" i="1" s="1"/>
  <c r="Z102" i="1"/>
  <c r="Z93" i="1"/>
  <c r="Z111" i="1"/>
  <c r="Z103" i="1"/>
  <c r="Z55" i="1"/>
  <c r="Z81" i="1"/>
  <c r="Z43" i="1"/>
  <c r="Z97" i="1"/>
  <c r="Z80" i="1"/>
  <c r="Z46" i="1"/>
  <c r="Z90" i="1"/>
  <c r="Z99" i="1"/>
  <c r="Z110" i="1"/>
  <c r="Z108" i="1"/>
  <c r="Z88" i="1"/>
  <c r="Z83" i="1"/>
  <c r="Z95" i="1"/>
  <c r="Z86" i="1"/>
  <c r="Z91" i="1"/>
  <c r="Z105" i="1"/>
  <c r="Z100" i="1"/>
  <c r="Z104" i="1"/>
  <c r="Z112" i="1"/>
  <c r="Z94" i="1"/>
  <c r="Z123" i="1"/>
  <c r="Z48" i="1"/>
  <c r="Z89" i="1"/>
  <c r="Z62" i="1"/>
  <c r="Z96" i="1"/>
  <c r="Z92" i="1"/>
  <c r="Z116" i="1"/>
  <c r="Z85" i="1"/>
  <c r="Z36" i="1"/>
  <c r="Z109" i="1"/>
  <c r="Z113" i="1"/>
  <c r="Z101" i="1"/>
  <c r="Z106" i="1"/>
  <c r="Z154" i="2"/>
  <c r="Z127" i="2" s="1"/>
  <c r="Z132" i="2" s="1"/>
  <c r="S11" i="2"/>
  <c r="T3" i="2"/>
  <c r="T18" i="2" s="1"/>
  <c r="AA123" i="1" l="1"/>
  <c r="AA91" i="1"/>
  <c r="AA110" i="1"/>
  <c r="AA105" i="1"/>
  <c r="AA92" i="1"/>
  <c r="AA96" i="1"/>
  <c r="AA36" i="1"/>
  <c r="AA113" i="1"/>
  <c r="AA87" i="1"/>
  <c r="AA90" i="1"/>
  <c r="AA97" i="1"/>
  <c r="AA98" i="1"/>
  <c r="AA86" i="1"/>
  <c r="AA85" i="1"/>
  <c r="AA89" i="1"/>
  <c r="AA88" i="1"/>
  <c r="AA103" i="1"/>
  <c r="AA80" i="1"/>
  <c r="AA116" i="1"/>
  <c r="AA82" i="1"/>
  <c r="AA84" i="1"/>
  <c r="AA46" i="1"/>
  <c r="AA83" i="1"/>
  <c r="AA108" i="1"/>
  <c r="AA106" i="1"/>
  <c r="AA104" i="1"/>
  <c r="AA109" i="1"/>
  <c r="AA115" i="1"/>
  <c r="AA64" i="1"/>
  <c r="AA94" i="1"/>
  <c r="AA125" i="1"/>
  <c r="AA101" i="1"/>
  <c r="AA102" i="1"/>
  <c r="AA107" i="1"/>
  <c r="AA99" i="1"/>
  <c r="AA55" i="1"/>
  <c r="AA95" i="1"/>
  <c r="AB23" i="1"/>
  <c r="AB111" i="1" s="1"/>
  <c r="AA93" i="1"/>
  <c r="AA43" i="1"/>
  <c r="AA62" i="1"/>
  <c r="AA48" i="1"/>
  <c r="AA73" i="1"/>
  <c r="AA25" i="1"/>
  <c r="AA114" i="1"/>
  <c r="AA100" i="1"/>
  <c r="AA112" i="1"/>
  <c r="AA111" i="1"/>
  <c r="AB154" i="2"/>
  <c r="AB127" i="2" s="1"/>
  <c r="AB132" i="2" s="1"/>
  <c r="AA154" i="2"/>
  <c r="AA127" i="2" s="1"/>
  <c r="AA132" i="2" s="1"/>
  <c r="T11" i="2"/>
  <c r="U3" i="2"/>
  <c r="U18" i="2" s="1"/>
  <c r="AB46" i="1" l="1"/>
  <c r="AB55" i="1"/>
  <c r="AB82" i="1"/>
  <c r="AB84" i="1"/>
  <c r="AB97" i="1"/>
  <c r="AB90" i="1"/>
  <c r="AB48" i="1"/>
  <c r="AB99" i="1"/>
  <c r="AB85" i="1"/>
  <c r="AB92" i="1"/>
  <c r="AB123" i="1"/>
  <c r="AB100" i="1"/>
  <c r="AB94" i="1"/>
  <c r="AB62" i="1"/>
  <c r="AB125" i="1"/>
  <c r="AB101" i="1"/>
  <c r="AB81" i="1"/>
  <c r="AB95" i="1"/>
  <c r="AB96" i="1"/>
  <c r="AB43" i="1"/>
  <c r="AB73" i="1"/>
  <c r="AB105" i="1"/>
  <c r="AB106" i="1"/>
  <c r="AB86" i="1"/>
  <c r="AB91" i="1"/>
  <c r="AB116" i="1"/>
  <c r="AB89" i="1"/>
  <c r="AB25" i="1"/>
  <c r="AB98" i="1"/>
  <c r="AB107" i="1"/>
  <c r="AB36" i="1"/>
  <c r="AB88" i="1"/>
  <c r="AB83" i="1"/>
  <c r="AB80" i="1"/>
  <c r="AB93" i="1"/>
  <c r="AB87" i="1"/>
  <c r="AC23" i="1"/>
  <c r="AD23" i="1" s="1"/>
  <c r="AD113" i="1" s="1"/>
  <c r="AB64" i="1"/>
  <c r="AB102" i="1"/>
  <c r="AB114" i="1"/>
  <c r="AB109" i="1"/>
  <c r="AB110" i="1"/>
  <c r="AB112" i="1"/>
  <c r="AB115" i="1"/>
  <c r="AB103" i="1"/>
  <c r="AB104" i="1"/>
  <c r="AB108" i="1"/>
  <c r="AB113" i="1"/>
  <c r="U11" i="2"/>
  <c r="V3" i="2"/>
  <c r="V18" i="2" s="1"/>
  <c r="AC125" i="1" l="1"/>
  <c r="AC36" i="1"/>
  <c r="AD87" i="1"/>
  <c r="AC101" i="1"/>
  <c r="AD125" i="1"/>
  <c r="AD91" i="1"/>
  <c r="AD100" i="1"/>
  <c r="AD123" i="1"/>
  <c r="AC55" i="1"/>
  <c r="AD80" i="1"/>
  <c r="AC81" i="1"/>
  <c r="AD25" i="1"/>
  <c r="AD82" i="1"/>
  <c r="AD55" i="1"/>
  <c r="AC91" i="1"/>
  <c r="AC100" i="1"/>
  <c r="AD104" i="1"/>
  <c r="AC107" i="1"/>
  <c r="AD115" i="1"/>
  <c r="AD90" i="1"/>
  <c r="AC80" i="1"/>
  <c r="AC86" i="1"/>
  <c r="AC108" i="1"/>
  <c r="AD110" i="1"/>
  <c r="AD101" i="1"/>
  <c r="AD114" i="1"/>
  <c r="AD48" i="1"/>
  <c r="AD81" i="1"/>
  <c r="AC85" i="1"/>
  <c r="AC92" i="1"/>
  <c r="AC95" i="1"/>
  <c r="AC73" i="1"/>
  <c r="AC103" i="1"/>
  <c r="AC111" i="1"/>
  <c r="AD106" i="1"/>
  <c r="AD107" i="1"/>
  <c r="AD92" i="1"/>
  <c r="AD116" i="1"/>
  <c r="AD84" i="1"/>
  <c r="AD86" i="1"/>
  <c r="AD95" i="1"/>
  <c r="AC90" i="1"/>
  <c r="AC25" i="1"/>
  <c r="AC62" i="1"/>
  <c r="AC99" i="1"/>
  <c r="AC104" i="1"/>
  <c r="AC112" i="1"/>
  <c r="AD99" i="1"/>
  <c r="AD109" i="1"/>
  <c r="AD46" i="1"/>
  <c r="AD62" i="1"/>
  <c r="AE23" i="1"/>
  <c r="AE114" i="1" s="1"/>
  <c r="AD85" i="1"/>
  <c r="AD96" i="1"/>
  <c r="AD88" i="1"/>
  <c r="AD93" i="1"/>
  <c r="AD36" i="1"/>
  <c r="AC96" i="1"/>
  <c r="AC83" i="1"/>
  <c r="AC116" i="1"/>
  <c r="AC97" i="1"/>
  <c r="AC87" i="1"/>
  <c r="AC46" i="1"/>
  <c r="AC88" i="1"/>
  <c r="AC43" i="1"/>
  <c r="AC115" i="1"/>
  <c r="AC102" i="1"/>
  <c r="AC105" i="1"/>
  <c r="AC109" i="1"/>
  <c r="AC113" i="1"/>
  <c r="AD108" i="1"/>
  <c r="AD103" i="1"/>
  <c r="AD102" i="1"/>
  <c r="AD111" i="1"/>
  <c r="AD43" i="1"/>
  <c r="AD64" i="1"/>
  <c r="AD83" i="1"/>
  <c r="AD97" i="1"/>
  <c r="AD89" i="1"/>
  <c r="AD94" i="1"/>
  <c r="AD73" i="1"/>
  <c r="AC93" i="1"/>
  <c r="AC89" i="1"/>
  <c r="AC48" i="1"/>
  <c r="AC82" i="1"/>
  <c r="AC123" i="1"/>
  <c r="AC64" i="1"/>
  <c r="AC84" i="1"/>
  <c r="AC98" i="1"/>
  <c r="AC114" i="1"/>
  <c r="AC106" i="1"/>
  <c r="AC110" i="1"/>
  <c r="AC94" i="1"/>
  <c r="AD112" i="1"/>
  <c r="AD98" i="1"/>
  <c r="AD105" i="1"/>
  <c r="V11" i="2"/>
  <c r="W3" i="2"/>
  <c r="W18" i="2" s="1"/>
  <c r="AE83" i="1" l="1"/>
  <c r="AE116" i="1"/>
  <c r="AE96" i="1"/>
  <c r="AE111" i="1"/>
  <c r="AE125" i="1"/>
  <c r="AE80" i="1"/>
  <c r="AE73" i="1"/>
  <c r="AE104" i="1"/>
  <c r="AE87" i="1"/>
  <c r="AE106" i="1"/>
  <c r="AE46" i="1"/>
  <c r="AE90" i="1"/>
  <c r="AE113" i="1"/>
  <c r="AE115" i="1"/>
  <c r="AE48" i="1"/>
  <c r="AE82" i="1"/>
  <c r="AE98" i="1"/>
  <c r="AE112" i="1"/>
  <c r="AE92" i="1"/>
  <c r="AE91" i="1"/>
  <c r="AE64" i="1"/>
  <c r="AE86" i="1"/>
  <c r="AE95" i="1"/>
  <c r="AE101" i="1"/>
  <c r="AE99" i="1"/>
  <c r="AE43" i="1"/>
  <c r="AE123" i="1"/>
  <c r="AF23" i="1"/>
  <c r="AF112" i="1" s="1"/>
  <c r="AE81" i="1"/>
  <c r="AE85" i="1"/>
  <c r="AE88" i="1"/>
  <c r="AE93" i="1"/>
  <c r="AE55" i="1"/>
  <c r="AE100" i="1"/>
  <c r="AE102" i="1"/>
  <c r="AE108" i="1"/>
  <c r="AE103" i="1"/>
  <c r="AE25" i="1"/>
  <c r="AE62" i="1"/>
  <c r="AE84" i="1"/>
  <c r="AE97" i="1"/>
  <c r="AE89" i="1"/>
  <c r="AE94" i="1"/>
  <c r="AE36" i="1"/>
  <c r="AE105" i="1"/>
  <c r="AE109" i="1"/>
  <c r="AE107" i="1"/>
  <c r="AE110" i="1"/>
  <c r="W11" i="2"/>
  <c r="X3" i="2"/>
  <c r="X18" i="2" s="1"/>
  <c r="AF106" i="1" l="1"/>
  <c r="AF125" i="1"/>
  <c r="AF88" i="1"/>
  <c r="AF25" i="1"/>
  <c r="AF83" i="1"/>
  <c r="AF102" i="1"/>
  <c r="AF48" i="1"/>
  <c r="AF89" i="1"/>
  <c r="AF84" i="1"/>
  <c r="AF101" i="1"/>
  <c r="AF109" i="1"/>
  <c r="AF64" i="1"/>
  <c r="AF81" i="1"/>
  <c r="AF93" i="1"/>
  <c r="AF55" i="1"/>
  <c r="AF100" i="1"/>
  <c r="AF110" i="1"/>
  <c r="AF116" i="1"/>
  <c r="AF82" i="1"/>
  <c r="AF94" i="1"/>
  <c r="AF36" i="1"/>
  <c r="AF99" i="1"/>
  <c r="AF105" i="1"/>
  <c r="AF113" i="1"/>
  <c r="AF46" i="1"/>
  <c r="AF62" i="1"/>
  <c r="AF86" i="1"/>
  <c r="AF90" i="1"/>
  <c r="AF95" i="1"/>
  <c r="AF85" i="1"/>
  <c r="AF73" i="1"/>
  <c r="AF103" i="1"/>
  <c r="AF115" i="1"/>
  <c r="AF107" i="1"/>
  <c r="AF111" i="1"/>
  <c r="AF43" i="1"/>
  <c r="AF123" i="1"/>
  <c r="AF80" i="1"/>
  <c r="AF87" i="1"/>
  <c r="AF92" i="1"/>
  <c r="AF96" i="1"/>
  <c r="AF97" i="1"/>
  <c r="AF91" i="1"/>
  <c r="AF98" i="1"/>
  <c r="AF114" i="1"/>
  <c r="AF104" i="1"/>
  <c r="AF108" i="1"/>
  <c r="AH115" i="1"/>
  <c r="AH114" i="1"/>
  <c r="AH113" i="1"/>
  <c r="AH112" i="1"/>
  <c r="AH111" i="1"/>
  <c r="AH110" i="1"/>
  <c r="AH109" i="1"/>
  <c r="AH108" i="1"/>
  <c r="AH107" i="1"/>
  <c r="AH106" i="1"/>
  <c r="AH105" i="1"/>
  <c r="AH104" i="1"/>
  <c r="AH103" i="1"/>
  <c r="AH101" i="1"/>
  <c r="AH102" i="1"/>
  <c r="AH99" i="1"/>
  <c r="X11" i="2"/>
  <c r="AH91" i="1"/>
  <c r="AH36" i="1"/>
  <c r="AH55" i="1"/>
  <c r="AH73" i="1"/>
  <c r="AH96" i="1"/>
  <c r="AH95" i="1"/>
  <c r="AH94" i="1"/>
  <c r="AH93" i="1"/>
  <c r="AH92" i="1"/>
  <c r="AH90" i="1"/>
  <c r="AH89" i="1"/>
  <c r="AH88" i="1"/>
  <c r="AH87" i="1"/>
  <c r="AH97" i="1"/>
  <c r="AH86" i="1"/>
  <c r="AH85" i="1"/>
  <c r="AH84" i="1"/>
  <c r="AH83" i="1"/>
  <c r="AH81" i="1"/>
  <c r="Y3" i="2"/>
  <c r="Y18" i="2" s="1"/>
  <c r="Y11" i="2" l="1"/>
  <c r="Z3" i="2"/>
  <c r="Z18" i="2" s="1"/>
  <c r="Z11" i="2" l="1"/>
  <c r="AA3" i="2"/>
  <c r="AA18" i="2" s="1"/>
  <c r="AA11" i="2" l="1"/>
  <c r="AB3" i="2"/>
  <c r="AB18" i="2" s="1"/>
  <c r="AB11" i="2" l="1"/>
  <c r="E42" i="1"/>
  <c r="AG42" i="1" s="1"/>
  <c r="E41" i="1"/>
  <c r="AG41" i="1" s="1"/>
  <c r="E79" i="1"/>
  <c r="AG79" i="1" s="1"/>
  <c r="E78" i="1"/>
  <c r="AG78" i="1" s="1"/>
  <c r="E122" i="1"/>
  <c r="AG122" i="1" s="1"/>
  <c r="E121" i="1"/>
  <c r="AG121" i="1" s="1"/>
  <c r="E120" i="1"/>
  <c r="AG120" i="1" s="1"/>
  <c r="E34" i="1"/>
  <c r="AG34" i="1" s="1"/>
  <c r="F121" i="1" l="1"/>
  <c r="G121" i="1" s="1"/>
  <c r="K41" i="1"/>
  <c r="L41" i="1" s="1"/>
  <c r="K42" i="1"/>
  <c r="O42" i="1" s="1"/>
  <c r="F122" i="1"/>
  <c r="G122" i="1" s="1"/>
  <c r="AE41" i="1" l="1"/>
  <c r="AC41" i="1"/>
  <c r="AB41" i="1"/>
  <c r="AF41" i="1"/>
  <c r="X41" i="1"/>
  <c r="N42" i="1"/>
  <c r="Y41" i="1"/>
  <c r="U41" i="1"/>
  <c r="T41" i="1"/>
  <c r="AD42" i="1"/>
  <c r="AA41" i="1"/>
  <c r="V41" i="1"/>
  <c r="S41" i="1"/>
  <c r="X42" i="1"/>
  <c r="AD41" i="1"/>
  <c r="Z41" i="1"/>
  <c r="W41" i="1"/>
  <c r="R41" i="1"/>
  <c r="Q41" i="1"/>
  <c r="P41" i="1"/>
  <c r="AC42" i="1"/>
  <c r="N41" i="1"/>
  <c r="W42" i="1"/>
  <c r="Q42" i="1"/>
  <c r="M41" i="1"/>
  <c r="O41" i="1"/>
  <c r="U42" i="1"/>
  <c r="M42" i="1"/>
  <c r="Z42" i="1"/>
  <c r="R42" i="1"/>
  <c r="AF42" i="1"/>
  <c r="AB42" i="1"/>
  <c r="Y42" i="1"/>
  <c r="T42" i="1"/>
  <c r="P42" i="1"/>
  <c r="L42" i="1"/>
  <c r="AE42" i="1"/>
  <c r="AA42" i="1"/>
  <c r="V42" i="1"/>
  <c r="S42" i="1"/>
  <c r="H122" i="1"/>
  <c r="I122" i="1" s="1"/>
  <c r="H121" i="1"/>
  <c r="AH41" i="1" l="1"/>
  <c r="AH42" i="1"/>
  <c r="J122" i="1"/>
  <c r="K122" i="1" s="1"/>
  <c r="I121" i="1"/>
  <c r="J121" i="1" s="1"/>
  <c r="AE122" i="1" l="1"/>
  <c r="P122" i="1"/>
  <c r="V122" i="1"/>
  <c r="AD122" i="1"/>
  <c r="M122" i="1"/>
  <c r="O122" i="1"/>
  <c r="AC122" i="1"/>
  <c r="N122" i="1"/>
  <c r="AB122" i="1"/>
  <c r="U122" i="1"/>
  <c r="Y122" i="1"/>
  <c r="Q122" i="1"/>
  <c r="T122" i="1"/>
  <c r="AA122" i="1"/>
  <c r="L122" i="1"/>
  <c r="Z122" i="1"/>
  <c r="S122" i="1"/>
  <c r="W122" i="1"/>
  <c r="R122" i="1"/>
  <c r="AF122" i="1"/>
  <c r="X122" i="1"/>
  <c r="K78" i="1"/>
  <c r="K79" i="1"/>
  <c r="K121" i="1"/>
  <c r="O121" i="1" s="1"/>
  <c r="B205" i="1"/>
  <c r="C205" i="1"/>
  <c r="D184" i="1"/>
  <c r="E69" i="1"/>
  <c r="AG69" i="1" s="1"/>
  <c r="E127" i="1"/>
  <c r="E124" i="1"/>
  <c r="F29" i="1"/>
  <c r="F120" i="1"/>
  <c r="E76" i="1"/>
  <c r="AG76" i="1" s="1"/>
  <c r="B171" i="1"/>
  <c r="B158" i="1"/>
  <c r="B141" i="1"/>
  <c r="B127" i="7" s="1"/>
  <c r="B140" i="1"/>
  <c r="B126" i="7" s="1"/>
  <c r="B139" i="1"/>
  <c r="B125" i="7" s="1"/>
  <c r="B138" i="1"/>
  <c r="B124" i="7" s="1"/>
  <c r="F117" i="1"/>
  <c r="F118" i="1"/>
  <c r="F119" i="1"/>
  <c r="F44" i="1"/>
  <c r="F30" i="1"/>
  <c r="E77" i="1"/>
  <c r="AG77" i="1" s="1"/>
  <c r="E75" i="1"/>
  <c r="AG75" i="1" s="1"/>
  <c r="E74" i="1"/>
  <c r="AG74" i="1" s="1"/>
  <c r="E71" i="1"/>
  <c r="AG71" i="1" s="1"/>
  <c r="E70" i="1"/>
  <c r="AG70" i="1" s="1"/>
  <c r="E68" i="1"/>
  <c r="AG68" i="1" s="1"/>
  <c r="E67" i="1"/>
  <c r="AG67" i="1" s="1"/>
  <c r="E66" i="1"/>
  <c r="AG66" i="1" s="1"/>
  <c r="E65" i="1"/>
  <c r="AG65" i="1" s="1"/>
  <c r="E61" i="1"/>
  <c r="AG61" i="1" s="1"/>
  <c r="E60" i="1"/>
  <c r="AG60" i="1" s="1"/>
  <c r="E59" i="1"/>
  <c r="AG59" i="1" s="1"/>
  <c r="E58" i="1"/>
  <c r="AG58" i="1" s="1"/>
  <c r="E57" i="1"/>
  <c r="AG57" i="1" s="1"/>
  <c r="E56" i="1"/>
  <c r="AG56" i="1" s="1"/>
  <c r="E54" i="1"/>
  <c r="AG54" i="1" s="1"/>
  <c r="E53" i="1"/>
  <c r="E52" i="1"/>
  <c r="AG52" i="1" s="1"/>
  <c r="E51" i="1"/>
  <c r="AG51" i="1" s="1"/>
  <c r="E50" i="1"/>
  <c r="AG50" i="1" s="1"/>
  <c r="E49" i="1"/>
  <c r="AG49" i="1" s="1"/>
  <c r="E47" i="1"/>
  <c r="AG47" i="1" s="1"/>
  <c r="E40" i="1"/>
  <c r="AG40" i="1" s="1"/>
  <c r="E39" i="1"/>
  <c r="AG39" i="1" s="1"/>
  <c r="E38" i="1"/>
  <c r="E37" i="1"/>
  <c r="AG37" i="1" s="1"/>
  <c r="F34" i="1"/>
  <c r="E33" i="1"/>
  <c r="AG33" i="1" s="1"/>
  <c r="E32" i="1"/>
  <c r="AG32" i="1" s="1"/>
  <c r="E31" i="1"/>
  <c r="AG31" i="1" s="1"/>
  <c r="E26" i="1"/>
  <c r="B47" i="1"/>
  <c r="B46" i="7" s="1"/>
  <c r="F26" i="1" l="1"/>
  <c r="AG26" i="1"/>
  <c r="F38" i="1"/>
  <c r="G38" i="1" s="1"/>
  <c r="AG38" i="1"/>
  <c r="F53" i="1"/>
  <c r="G53" i="1" s="1"/>
  <c r="H53" i="1" s="1"/>
  <c r="I53" i="1" s="1"/>
  <c r="AG53" i="1"/>
  <c r="D26" i="2"/>
  <c r="H157" i="1"/>
  <c r="D183" i="1"/>
  <c r="C192" i="1"/>
  <c r="C138" i="3"/>
  <c r="C164" i="2"/>
  <c r="C230" i="3"/>
  <c r="F74" i="1"/>
  <c r="G74" i="1" s="1"/>
  <c r="F49" i="1"/>
  <c r="G49" i="1" s="1"/>
  <c r="H49" i="1" s="1"/>
  <c r="F58" i="1"/>
  <c r="G58" i="1" s="1"/>
  <c r="H58" i="1" s="1"/>
  <c r="F75" i="1"/>
  <c r="G75" i="1" s="1"/>
  <c r="H75" i="1" s="1"/>
  <c r="I75" i="1" s="1"/>
  <c r="F51" i="1"/>
  <c r="G51" i="1" s="1"/>
  <c r="F56" i="1"/>
  <c r="G56" i="1" s="1"/>
  <c r="F60" i="1"/>
  <c r="G60" i="1" s="1"/>
  <c r="F66" i="1"/>
  <c r="G66" i="1" s="1"/>
  <c r="F77" i="1"/>
  <c r="G77" i="1" s="1"/>
  <c r="F39" i="1"/>
  <c r="G39" i="1" s="1"/>
  <c r="H39" i="1" s="1"/>
  <c r="F70" i="1"/>
  <c r="G70" i="1" s="1"/>
  <c r="H70" i="1" s="1"/>
  <c r="F32" i="1"/>
  <c r="G32" i="1" s="1"/>
  <c r="F47" i="1"/>
  <c r="G47" i="1" s="1"/>
  <c r="F124" i="1"/>
  <c r="G124" i="1" s="1"/>
  <c r="F33" i="1"/>
  <c r="G33" i="1" s="1"/>
  <c r="F63" i="1"/>
  <c r="G63" i="1" s="1"/>
  <c r="F27" i="1"/>
  <c r="G27" i="1" s="1"/>
  <c r="F54" i="1"/>
  <c r="G54" i="1" s="1"/>
  <c r="H54" i="1" s="1"/>
  <c r="I54" i="1" s="1"/>
  <c r="F65" i="1"/>
  <c r="G65" i="1" s="1"/>
  <c r="H65" i="1" s="1"/>
  <c r="F69" i="1"/>
  <c r="G69" i="1" s="1"/>
  <c r="H69" i="1" s="1"/>
  <c r="AH122" i="1"/>
  <c r="F24" i="1"/>
  <c r="G24" i="1" s="1"/>
  <c r="F50" i="1"/>
  <c r="G50" i="1" s="1"/>
  <c r="F59" i="1"/>
  <c r="G59" i="1" s="1"/>
  <c r="F31" i="1"/>
  <c r="G31" i="1" s="1"/>
  <c r="F35" i="1"/>
  <c r="G35" i="1" s="1"/>
  <c r="F40" i="1"/>
  <c r="G40" i="1" s="1"/>
  <c r="F52" i="1"/>
  <c r="G52" i="1" s="1"/>
  <c r="F57" i="1"/>
  <c r="G57" i="1" s="1"/>
  <c r="F61" i="1"/>
  <c r="G61" i="1" s="1"/>
  <c r="F67" i="1"/>
  <c r="G67" i="1" s="1"/>
  <c r="G29" i="1"/>
  <c r="H29" i="1" s="1"/>
  <c r="L78" i="1"/>
  <c r="M78" i="1"/>
  <c r="N78" i="1"/>
  <c r="O78" i="1"/>
  <c r="P78" i="1"/>
  <c r="Q78" i="1"/>
  <c r="R78" i="1"/>
  <c r="S78" i="1"/>
  <c r="T78" i="1"/>
  <c r="U78" i="1"/>
  <c r="W78" i="1"/>
  <c r="V78" i="1"/>
  <c r="Y78" i="1"/>
  <c r="X78" i="1"/>
  <c r="Z78" i="1"/>
  <c r="AA78" i="1"/>
  <c r="AB78" i="1"/>
  <c r="AC78" i="1"/>
  <c r="AD78" i="1"/>
  <c r="AE78" i="1"/>
  <c r="AF78" i="1"/>
  <c r="S121" i="1"/>
  <c r="AE121" i="1"/>
  <c r="P121" i="1"/>
  <c r="AB121" i="1"/>
  <c r="G44" i="1"/>
  <c r="H44" i="1" s="1"/>
  <c r="L45" i="1"/>
  <c r="M45" i="1"/>
  <c r="N45" i="1"/>
  <c r="O45" i="1"/>
  <c r="P45" i="1"/>
  <c r="Q45" i="1"/>
  <c r="R45" i="1"/>
  <c r="S45" i="1"/>
  <c r="T45" i="1"/>
  <c r="U45" i="1"/>
  <c r="V45" i="1"/>
  <c r="W45" i="1"/>
  <c r="Y45" i="1"/>
  <c r="X45" i="1"/>
  <c r="Z45" i="1"/>
  <c r="AA45" i="1"/>
  <c r="AB45" i="1"/>
  <c r="AC45" i="1"/>
  <c r="AD45" i="1"/>
  <c r="AE45" i="1"/>
  <c r="AF45" i="1"/>
  <c r="AA121" i="1"/>
  <c r="V121" i="1"/>
  <c r="R121" i="1"/>
  <c r="W121" i="1"/>
  <c r="N121" i="1"/>
  <c r="AF121" i="1"/>
  <c r="G119" i="1"/>
  <c r="L121" i="1"/>
  <c r="AD121" i="1"/>
  <c r="T121" i="1"/>
  <c r="Q121" i="1"/>
  <c r="Z121" i="1"/>
  <c r="M121" i="1"/>
  <c r="Y121" i="1"/>
  <c r="G30" i="1"/>
  <c r="G118" i="1"/>
  <c r="H118" i="1" s="1"/>
  <c r="L79" i="1"/>
  <c r="M79" i="1"/>
  <c r="N79" i="1"/>
  <c r="O79" i="1"/>
  <c r="P79" i="1"/>
  <c r="Q79" i="1"/>
  <c r="R79" i="1"/>
  <c r="S79" i="1"/>
  <c r="T79" i="1"/>
  <c r="U79" i="1"/>
  <c r="W79" i="1"/>
  <c r="V79" i="1"/>
  <c r="X79" i="1"/>
  <c r="Y79" i="1"/>
  <c r="Z79" i="1"/>
  <c r="AA79" i="1"/>
  <c r="AB79" i="1"/>
  <c r="AC79" i="1"/>
  <c r="AD79" i="1"/>
  <c r="AE79" i="1"/>
  <c r="AF79" i="1"/>
  <c r="AC121" i="1"/>
  <c r="X121" i="1"/>
  <c r="U121" i="1"/>
  <c r="G28" i="1"/>
  <c r="H28" i="1" s="1"/>
  <c r="B41" i="1"/>
  <c r="B40" i="7" s="1"/>
  <c r="G34" i="1"/>
  <c r="H34" i="1" s="1"/>
  <c r="F68" i="1"/>
  <c r="G120" i="1"/>
  <c r="F37" i="1"/>
  <c r="F71" i="1"/>
  <c r="F76" i="1"/>
  <c r="G117" i="1"/>
  <c r="B78" i="1"/>
  <c r="C193" i="1" l="1"/>
  <c r="C124" i="1" s="1"/>
  <c r="B168" i="2"/>
  <c r="B25" i="7"/>
  <c r="B64" i="7" s="1"/>
  <c r="H74" i="1"/>
  <c r="I74" i="1" s="1"/>
  <c r="B73" i="1"/>
  <c r="B36" i="1"/>
  <c r="B35" i="7" s="1"/>
  <c r="B74" i="7" s="1"/>
  <c r="B55" i="1"/>
  <c r="B54" i="7" s="1"/>
  <c r="AH78" i="1"/>
  <c r="AH45" i="1"/>
  <c r="H119" i="1"/>
  <c r="AH79" i="1"/>
  <c r="AH121" i="1"/>
  <c r="I29" i="1"/>
  <c r="H66" i="1"/>
  <c r="I66" i="1" s="1"/>
  <c r="H40" i="1"/>
  <c r="I40" i="1" s="1"/>
  <c r="J40" i="1" s="1"/>
  <c r="H52" i="1"/>
  <c r="I52" i="1" s="1"/>
  <c r="H35" i="1"/>
  <c r="I35" i="1" s="1"/>
  <c r="H57" i="1"/>
  <c r="I57" i="1" s="1"/>
  <c r="H31" i="1"/>
  <c r="I31" i="1" s="1"/>
  <c r="J31" i="1" s="1"/>
  <c r="H30" i="1"/>
  <c r="I30" i="1" s="1"/>
  <c r="H51" i="1"/>
  <c r="I51" i="1" s="1"/>
  <c r="H61" i="1"/>
  <c r="I39" i="1"/>
  <c r="H60" i="1"/>
  <c r="I60" i="1" s="1"/>
  <c r="J60" i="1" s="1"/>
  <c r="I65" i="1"/>
  <c r="I49" i="1"/>
  <c r="H120" i="1"/>
  <c r="H117" i="1"/>
  <c r="G26" i="1"/>
  <c r="G37" i="1"/>
  <c r="H59" i="1"/>
  <c r="H50" i="1"/>
  <c r="I58" i="1"/>
  <c r="I118" i="1"/>
  <c r="H47" i="1"/>
  <c r="H27" i="1"/>
  <c r="H63" i="1"/>
  <c r="H24" i="1"/>
  <c r="H124" i="1"/>
  <c r="J54" i="1"/>
  <c r="G68" i="1"/>
  <c r="H33" i="1"/>
  <c r="H77" i="1"/>
  <c r="G71" i="1"/>
  <c r="G76" i="1"/>
  <c r="H38" i="1"/>
  <c r="H32" i="1"/>
  <c r="H56" i="1"/>
  <c r="J53" i="1"/>
  <c r="H67" i="1"/>
  <c r="I69" i="1"/>
  <c r="I70" i="1"/>
  <c r="J75" i="1"/>
  <c r="I44" i="1"/>
  <c r="I34" i="1"/>
  <c r="I28" i="1"/>
  <c r="B56" i="1"/>
  <c r="B55" i="7" s="1"/>
  <c r="B79" i="1"/>
  <c r="B37" i="1"/>
  <c r="B36" i="7" s="1"/>
  <c r="B75" i="7" s="1"/>
  <c r="B44" i="1"/>
  <c r="B120" i="1"/>
  <c r="B119" i="7" s="1"/>
  <c r="B119" i="1"/>
  <c r="B118" i="7" s="1"/>
  <c r="B118" i="1"/>
  <c r="B117" i="7" s="1"/>
  <c r="B117" i="1"/>
  <c r="B116" i="7" s="1"/>
  <c r="B76" i="1"/>
  <c r="B75" i="1"/>
  <c r="B74" i="1"/>
  <c r="B72" i="1"/>
  <c r="B71" i="1"/>
  <c r="B70" i="1"/>
  <c r="B69" i="1"/>
  <c r="B63" i="1"/>
  <c r="B68" i="1"/>
  <c r="B67" i="1"/>
  <c r="B66" i="1"/>
  <c r="B65" i="1"/>
  <c r="B64" i="1"/>
  <c r="B61" i="1"/>
  <c r="B60" i="7" s="1"/>
  <c r="B60" i="1"/>
  <c r="B59" i="7" s="1"/>
  <c r="B58" i="7"/>
  <c r="B58" i="1"/>
  <c r="B57" i="7" s="1"/>
  <c r="B56" i="7"/>
  <c r="B54" i="1"/>
  <c r="B53" i="7" s="1"/>
  <c r="B53" i="1"/>
  <c r="B52" i="7" s="1"/>
  <c r="B52" i="1"/>
  <c r="B51" i="7" s="1"/>
  <c r="B51" i="1"/>
  <c r="B50" i="7" s="1"/>
  <c r="B50" i="1"/>
  <c r="B49" i="7" s="1"/>
  <c r="B49" i="1"/>
  <c r="B48" i="7" s="1"/>
  <c r="B48" i="1"/>
  <c r="B47" i="7" s="1"/>
  <c r="B124" i="1"/>
  <c r="B40" i="1"/>
  <c r="B39" i="7" s="1"/>
  <c r="B78" i="7" s="1"/>
  <c r="B39" i="1"/>
  <c r="B38" i="7" s="1"/>
  <c r="B77" i="7" s="1"/>
  <c r="B38" i="1"/>
  <c r="B37" i="7" s="1"/>
  <c r="B76" i="7" s="1"/>
  <c r="B35" i="1"/>
  <c r="B34" i="7" s="1"/>
  <c r="B73" i="7" s="1"/>
  <c r="B34" i="1"/>
  <c r="B33" i="7" s="1"/>
  <c r="B72" i="7" s="1"/>
  <c r="B33" i="1"/>
  <c r="B32" i="7" s="1"/>
  <c r="B71" i="7" s="1"/>
  <c r="B32" i="1"/>
  <c r="B31" i="7" s="1"/>
  <c r="B70" i="7" s="1"/>
  <c r="B31" i="1"/>
  <c r="B29" i="7"/>
  <c r="B68" i="7" s="1"/>
  <c r="B28" i="7"/>
  <c r="B67" i="7" s="1"/>
  <c r="B27" i="7"/>
  <c r="B66" i="7" s="1"/>
  <c r="C10" i="1"/>
  <c r="C12" i="1" s="1"/>
  <c r="C14" i="1" s="1"/>
  <c r="D7" i="2" s="1"/>
  <c r="C126" i="1" l="1"/>
  <c r="AG124" i="1"/>
  <c r="AH124" i="1" s="1"/>
  <c r="D205" i="1"/>
  <c r="E198" i="1" s="1"/>
  <c r="C209" i="1"/>
  <c r="B30" i="7"/>
  <c r="B69" i="7" s="1"/>
  <c r="B172" i="1"/>
  <c r="B169" i="2"/>
  <c r="B26" i="7"/>
  <c r="B65" i="7" s="1"/>
  <c r="I119" i="1"/>
  <c r="J119" i="1" s="1"/>
  <c r="K119" i="1" s="1"/>
  <c r="P119" i="1" s="1"/>
  <c r="B282" i="1"/>
  <c r="J74" i="1"/>
  <c r="K74" i="1" s="1"/>
  <c r="J52" i="1"/>
  <c r="K52" i="1" s="1"/>
  <c r="V52" i="1" s="1"/>
  <c r="J29" i="1"/>
  <c r="J44" i="1"/>
  <c r="K44" i="1" s="1"/>
  <c r="AD44" i="1" s="1"/>
  <c r="I120" i="1"/>
  <c r="J120" i="1" s="1"/>
  <c r="H76" i="1"/>
  <c r="I76" i="1" s="1"/>
  <c r="K75" i="1"/>
  <c r="Q75" i="1" s="1"/>
  <c r="H68" i="1"/>
  <c r="I68" i="1" s="1"/>
  <c r="H26" i="1"/>
  <c r="I26" i="1" s="1"/>
  <c r="J26" i="1" s="1"/>
  <c r="J49" i="1"/>
  <c r="K49" i="1" s="1"/>
  <c r="AB49" i="1" s="1"/>
  <c r="H37" i="1"/>
  <c r="I37" i="1" s="1"/>
  <c r="K54" i="1"/>
  <c r="X54" i="1" s="1"/>
  <c r="I117" i="1"/>
  <c r="J117" i="1" s="1"/>
  <c r="J65" i="1"/>
  <c r="K65" i="1" s="1"/>
  <c r="R65" i="1" s="1"/>
  <c r="J69" i="1"/>
  <c r="K69" i="1" s="1"/>
  <c r="S69" i="1" s="1"/>
  <c r="J39" i="1"/>
  <c r="K39" i="1" s="1"/>
  <c r="N39" i="1" s="1"/>
  <c r="K53" i="1"/>
  <c r="T53" i="1" s="1"/>
  <c r="I61" i="1"/>
  <c r="K31" i="1"/>
  <c r="R31" i="1" s="1"/>
  <c r="K40" i="1"/>
  <c r="Z40" i="1" s="1"/>
  <c r="K60" i="1"/>
  <c r="Q60" i="1" s="1"/>
  <c r="J35" i="1"/>
  <c r="I59" i="1"/>
  <c r="I67" i="1"/>
  <c r="I38" i="1"/>
  <c r="I32" i="1"/>
  <c r="J118" i="1"/>
  <c r="I124" i="1"/>
  <c r="W124" i="1" s="1"/>
  <c r="I63" i="1"/>
  <c r="I77" i="1"/>
  <c r="I33" i="1"/>
  <c r="J34" i="1"/>
  <c r="J66" i="1"/>
  <c r="J51" i="1"/>
  <c r="I24" i="1"/>
  <c r="I27" i="1"/>
  <c r="I47" i="1"/>
  <c r="J58" i="1"/>
  <c r="I50" i="1"/>
  <c r="J70" i="1"/>
  <c r="H71" i="1"/>
  <c r="J57" i="1"/>
  <c r="J28" i="1"/>
  <c r="J30" i="1"/>
  <c r="I56" i="1"/>
  <c r="B122" i="1"/>
  <c r="B121" i="7" s="1"/>
  <c r="B121" i="1"/>
  <c r="B120" i="7" s="1"/>
  <c r="C140" i="3" l="1"/>
  <c r="E202" i="1"/>
  <c r="G202" i="1" s="1"/>
  <c r="L119" i="1"/>
  <c r="V119" i="1"/>
  <c r="Q119" i="1"/>
  <c r="D9" i="2"/>
  <c r="AD74" i="1"/>
  <c r="Q44" i="1"/>
  <c r="AE52" i="1"/>
  <c r="AA53" i="1"/>
  <c r="T54" i="1"/>
  <c r="Q53" i="1"/>
  <c r="L53" i="1"/>
  <c r="AA75" i="1"/>
  <c r="AA119" i="1"/>
  <c r="AA44" i="1"/>
  <c r="AC53" i="1"/>
  <c r="R54" i="1"/>
  <c r="Y53" i="1"/>
  <c r="X52" i="1"/>
  <c r="Z52" i="1"/>
  <c r="Y54" i="1"/>
  <c r="U52" i="1"/>
  <c r="P52" i="1"/>
  <c r="R53" i="1"/>
  <c r="P53" i="1"/>
  <c r="AF52" i="1"/>
  <c r="AE75" i="1"/>
  <c r="S75" i="1"/>
  <c r="M74" i="1"/>
  <c r="S53" i="1"/>
  <c r="AB53" i="1"/>
  <c r="K117" i="1"/>
  <c r="W117" i="1" s="1"/>
  <c r="U53" i="1"/>
  <c r="Z54" i="1"/>
  <c r="P75" i="1"/>
  <c r="R75" i="1"/>
  <c r="AE54" i="1"/>
  <c r="X119" i="1"/>
  <c r="V54" i="1"/>
  <c r="Z75" i="1"/>
  <c r="X75" i="1"/>
  <c r="K26" i="1"/>
  <c r="AB26" i="1" s="1"/>
  <c r="R52" i="1"/>
  <c r="M52" i="1"/>
  <c r="N52" i="1"/>
  <c r="Y31" i="1"/>
  <c r="Y75" i="1"/>
  <c r="W54" i="1"/>
  <c r="AD54" i="1"/>
  <c r="U54" i="1"/>
  <c r="O75" i="1"/>
  <c r="N75" i="1"/>
  <c r="AC75" i="1"/>
  <c r="K29" i="1"/>
  <c r="O29" i="1" s="1"/>
  <c r="O52" i="1"/>
  <c r="AC52" i="1"/>
  <c r="Y65" i="1"/>
  <c r="AE31" i="1"/>
  <c r="Z69" i="1"/>
  <c r="T75" i="1"/>
  <c r="AA54" i="1"/>
  <c r="M54" i="1"/>
  <c r="AF75" i="1"/>
  <c r="W75" i="1"/>
  <c r="AD75" i="1"/>
  <c r="M75" i="1"/>
  <c r="J24" i="1"/>
  <c r="K24" i="1" s="1"/>
  <c r="Q24" i="1" s="1"/>
  <c r="W40" i="1"/>
  <c r="T40" i="1"/>
  <c r="J61" i="1"/>
  <c r="K51" i="1"/>
  <c r="AD51" i="1" s="1"/>
  <c r="K30" i="1"/>
  <c r="U30" i="1" s="1"/>
  <c r="I71" i="1"/>
  <c r="J71" i="1" s="1"/>
  <c r="K71" i="1" s="1"/>
  <c r="J77" i="1"/>
  <c r="J32" i="1"/>
  <c r="K32" i="1" s="1"/>
  <c r="V32" i="1" s="1"/>
  <c r="AC60" i="1"/>
  <c r="AF60" i="1"/>
  <c r="AB60" i="1"/>
  <c r="M60" i="1"/>
  <c r="P60" i="1"/>
  <c r="L60" i="1"/>
  <c r="T60" i="1"/>
  <c r="W60" i="1"/>
  <c r="V60" i="1"/>
  <c r="R60" i="1"/>
  <c r="S60" i="1"/>
  <c r="Z60" i="1"/>
  <c r="AA60" i="1"/>
  <c r="Y60" i="1"/>
  <c r="U60" i="1"/>
  <c r="L40" i="1"/>
  <c r="X40" i="1"/>
  <c r="AC40" i="1"/>
  <c r="AD40" i="1"/>
  <c r="AF69" i="1"/>
  <c r="O44" i="1"/>
  <c r="AE60" i="1"/>
  <c r="AD60" i="1"/>
  <c r="Q69" i="1"/>
  <c r="V74" i="1"/>
  <c r="P74" i="1"/>
  <c r="W74" i="1"/>
  <c r="Y74" i="1"/>
  <c r="AA74" i="1"/>
  <c r="AE74" i="1"/>
  <c r="L74" i="1"/>
  <c r="AB74" i="1"/>
  <c r="X74" i="1"/>
  <c r="S74" i="1"/>
  <c r="O74" i="1"/>
  <c r="O124" i="1"/>
  <c r="S124" i="1"/>
  <c r="V53" i="1"/>
  <c r="AE53" i="1"/>
  <c r="O53" i="1"/>
  <c r="Z53" i="1"/>
  <c r="W53" i="1"/>
  <c r="N53" i="1"/>
  <c r="X53" i="1"/>
  <c r="AD53" i="1"/>
  <c r="M53" i="1"/>
  <c r="AF53" i="1"/>
  <c r="AA69" i="1"/>
  <c r="AB69" i="1"/>
  <c r="R69" i="1"/>
  <c r="W49" i="1"/>
  <c r="J76" i="1"/>
  <c r="Q124" i="1"/>
  <c r="X124" i="1"/>
  <c r="Y124" i="1"/>
  <c r="U124" i="1"/>
  <c r="R124" i="1"/>
  <c r="V40" i="1"/>
  <c r="P40" i="1"/>
  <c r="O40" i="1"/>
  <c r="AF40" i="1"/>
  <c r="AA124" i="1"/>
  <c r="AD39" i="1"/>
  <c r="J56" i="1"/>
  <c r="K56" i="1" s="1"/>
  <c r="Q56" i="1" s="1"/>
  <c r="K28" i="1"/>
  <c r="AD28" i="1" s="1"/>
  <c r="K66" i="1"/>
  <c r="O66" i="1" s="1"/>
  <c r="J38" i="1"/>
  <c r="J37" i="1"/>
  <c r="U65" i="1"/>
  <c r="AE65" i="1"/>
  <c r="P65" i="1"/>
  <c r="X65" i="1"/>
  <c r="AC65" i="1"/>
  <c r="W65" i="1"/>
  <c r="N65" i="1"/>
  <c r="Q65" i="1"/>
  <c r="M65" i="1"/>
  <c r="AD65" i="1"/>
  <c r="T65" i="1"/>
  <c r="AF65" i="1"/>
  <c r="AA65" i="1"/>
  <c r="Y44" i="1"/>
  <c r="R44" i="1"/>
  <c r="AF44" i="1"/>
  <c r="L44" i="1"/>
  <c r="M44" i="1"/>
  <c r="S44" i="1"/>
  <c r="AE44" i="1"/>
  <c r="Z44" i="1"/>
  <c r="T44" i="1"/>
  <c r="V44" i="1"/>
  <c r="AC44" i="1"/>
  <c r="P44" i="1"/>
  <c r="Q31" i="1"/>
  <c r="W31" i="1"/>
  <c r="S31" i="1"/>
  <c r="L31" i="1"/>
  <c r="AA31" i="1"/>
  <c r="T31" i="1"/>
  <c r="Z31" i="1"/>
  <c r="V31" i="1"/>
  <c r="AB31" i="1"/>
  <c r="AD31" i="1"/>
  <c r="AC31" i="1"/>
  <c r="X31" i="1"/>
  <c r="P31" i="1"/>
  <c r="N31" i="1"/>
  <c r="M31" i="1"/>
  <c r="AF31" i="1"/>
  <c r="S40" i="1"/>
  <c r="AE40" i="1"/>
  <c r="M40" i="1"/>
  <c r="N40" i="1"/>
  <c r="R74" i="1"/>
  <c r="AC49" i="1"/>
  <c r="O31" i="1"/>
  <c r="X60" i="1"/>
  <c r="AF74" i="1"/>
  <c r="T74" i="1"/>
  <c r="U74" i="1"/>
  <c r="AE124" i="1"/>
  <c r="P124" i="1"/>
  <c r="V124" i="1"/>
  <c r="AA52" i="1"/>
  <c r="T52" i="1"/>
  <c r="W52" i="1"/>
  <c r="Q52" i="1"/>
  <c r="AD52" i="1"/>
  <c r="Y52" i="1"/>
  <c r="AB52" i="1"/>
  <c r="AE69" i="1"/>
  <c r="O69" i="1"/>
  <c r="Y40" i="1"/>
  <c r="W119" i="1"/>
  <c r="R49" i="1"/>
  <c r="Q74" i="1"/>
  <c r="N74" i="1"/>
  <c r="N124" i="1"/>
  <c r="L124" i="1"/>
  <c r="AF124" i="1"/>
  <c r="T124" i="1"/>
  <c r="L52" i="1"/>
  <c r="R39" i="1"/>
  <c r="V39" i="1"/>
  <c r="AA39" i="1"/>
  <c r="AE39" i="1"/>
  <c r="U39" i="1"/>
  <c r="O39" i="1"/>
  <c r="X39" i="1"/>
  <c r="Y39" i="1"/>
  <c r="Z39" i="1"/>
  <c r="M39" i="1"/>
  <c r="S39" i="1"/>
  <c r="AB39" i="1"/>
  <c r="Q39" i="1"/>
  <c r="AF39" i="1"/>
  <c r="W39" i="1"/>
  <c r="L39" i="1"/>
  <c r="T39" i="1"/>
  <c r="AC39" i="1"/>
  <c r="X69" i="1"/>
  <c r="M69" i="1"/>
  <c r="P69" i="1"/>
  <c r="AC69" i="1"/>
  <c r="W69" i="1"/>
  <c r="Y69" i="1"/>
  <c r="U69" i="1"/>
  <c r="N69" i="1"/>
  <c r="V69" i="1"/>
  <c r="L69" i="1"/>
  <c r="T69" i="1"/>
  <c r="J67" i="1"/>
  <c r="K67" i="1" s="1"/>
  <c r="AD67" i="1" s="1"/>
  <c r="AD49" i="1"/>
  <c r="Q49" i="1"/>
  <c r="T49" i="1"/>
  <c r="N49" i="1"/>
  <c r="AF49" i="1"/>
  <c r="M49" i="1"/>
  <c r="X49" i="1"/>
  <c r="U49" i="1"/>
  <c r="P49" i="1"/>
  <c r="O49" i="1"/>
  <c r="L49" i="1"/>
  <c r="U40" i="1"/>
  <c r="J68" i="1"/>
  <c r="J33" i="1"/>
  <c r="J59" i="1"/>
  <c r="M119" i="1"/>
  <c r="AE119" i="1"/>
  <c r="AF119" i="1"/>
  <c r="O119" i="1"/>
  <c r="T119" i="1"/>
  <c r="S119" i="1"/>
  <c r="R119" i="1"/>
  <c r="N119" i="1"/>
  <c r="AB40" i="1"/>
  <c r="Q40" i="1"/>
  <c r="R40" i="1"/>
  <c r="AA40" i="1"/>
  <c r="P39" i="1"/>
  <c r="U119" i="1"/>
  <c r="Z124" i="1"/>
  <c r="U31" i="1"/>
  <c r="O60" i="1"/>
  <c r="N60" i="1"/>
  <c r="AC124" i="1"/>
  <c r="AC74" i="1"/>
  <c r="Z74" i="1"/>
  <c r="AD124" i="1"/>
  <c r="AB124" i="1"/>
  <c r="M124" i="1"/>
  <c r="S52" i="1"/>
  <c r="AD69" i="1"/>
  <c r="AB44" i="1"/>
  <c r="V65" i="1"/>
  <c r="Y119" i="1"/>
  <c r="AC119" i="1"/>
  <c r="Z119" i="1"/>
  <c r="N54" i="1"/>
  <c r="O54" i="1"/>
  <c r="Q54" i="1"/>
  <c r="S65" i="1"/>
  <c r="AE49" i="1"/>
  <c r="Z49" i="1"/>
  <c r="Y49" i="1"/>
  <c r="V75" i="1"/>
  <c r="U75" i="1"/>
  <c r="U44" i="1"/>
  <c r="X44" i="1"/>
  <c r="AD119" i="1"/>
  <c r="O65" i="1"/>
  <c r="P54" i="1"/>
  <c r="L75" i="1"/>
  <c r="AB75" i="1"/>
  <c r="S54" i="1"/>
  <c r="W44" i="1"/>
  <c r="N44" i="1"/>
  <c r="AB119" i="1"/>
  <c r="AC54" i="1"/>
  <c r="AB65" i="1"/>
  <c r="AB54" i="1"/>
  <c r="L54" i="1"/>
  <c r="Z65" i="1"/>
  <c r="V49" i="1"/>
  <c r="S49" i="1"/>
  <c r="AA49" i="1"/>
  <c r="L65" i="1"/>
  <c r="AF54" i="1"/>
  <c r="K70" i="1"/>
  <c r="AC70" i="1" s="1"/>
  <c r="K120" i="1"/>
  <c r="P120" i="1" s="1"/>
  <c r="K57" i="1"/>
  <c r="Q57" i="1" s="1"/>
  <c r="K118" i="1"/>
  <c r="T118" i="1" s="1"/>
  <c r="K58" i="1"/>
  <c r="AC58" i="1" s="1"/>
  <c r="K35" i="1"/>
  <c r="AA35" i="1" s="1"/>
  <c r="K34" i="1"/>
  <c r="S34" i="1" s="1"/>
  <c r="J50" i="1"/>
  <c r="J63" i="1"/>
  <c r="J47" i="1"/>
  <c r="J27" i="1"/>
  <c r="K76" i="1" l="1"/>
  <c r="AF76" i="1"/>
  <c r="C145" i="1"/>
  <c r="D22" i="2" s="1"/>
  <c r="C170" i="2"/>
  <c r="C144" i="3"/>
  <c r="E200" i="1"/>
  <c r="G200" i="1" s="1"/>
  <c r="E204" i="1"/>
  <c r="G204" i="1" s="1"/>
  <c r="E199" i="1"/>
  <c r="G199" i="1" s="1"/>
  <c r="G198" i="1"/>
  <c r="E203" i="1"/>
  <c r="C173" i="2"/>
  <c r="C152" i="3"/>
  <c r="C147" i="3"/>
  <c r="E201" i="1"/>
  <c r="G201" i="1" s="1"/>
  <c r="AF32" i="1"/>
  <c r="Q118" i="1"/>
  <c r="L117" i="1"/>
  <c r="V117" i="1"/>
  <c r="Q117" i="1"/>
  <c r="D12" i="2"/>
  <c r="E227" i="1"/>
  <c r="D10" i="2"/>
  <c r="E8" i="2"/>
  <c r="E9" i="2" s="1"/>
  <c r="D209" i="1" s="1"/>
  <c r="L28" i="1"/>
  <c r="AA28" i="1"/>
  <c r="Q28" i="1"/>
  <c r="AF56" i="1"/>
  <c r="AC117" i="1"/>
  <c r="AF30" i="1"/>
  <c r="AE117" i="1"/>
  <c r="X76" i="1"/>
  <c r="N76" i="1"/>
  <c r="O76" i="1"/>
  <c r="AD76" i="1"/>
  <c r="U76" i="1"/>
  <c r="T76" i="1"/>
  <c r="AE76" i="1"/>
  <c r="P32" i="1"/>
  <c r="S26" i="1"/>
  <c r="AD30" i="1"/>
  <c r="W76" i="1"/>
  <c r="X26" i="1"/>
  <c r="Z28" i="1"/>
  <c r="O26" i="1"/>
  <c r="N26" i="1"/>
  <c r="Z26" i="1"/>
  <c r="Y66" i="1"/>
  <c r="R76" i="1"/>
  <c r="P28" i="1"/>
  <c r="M28" i="1"/>
  <c r="U28" i="1"/>
  <c r="R28" i="1"/>
  <c r="V76" i="1"/>
  <c r="R117" i="1"/>
  <c r="R29" i="1"/>
  <c r="AA117" i="1"/>
  <c r="AA118" i="1"/>
  <c r="AB117" i="1"/>
  <c r="AD117" i="1"/>
  <c r="U56" i="1"/>
  <c r="X29" i="1"/>
  <c r="AA29" i="1"/>
  <c r="AC30" i="1"/>
  <c r="O30" i="1"/>
  <c r="Z30" i="1"/>
  <c r="AE30" i="1"/>
  <c r="W30" i="1"/>
  <c r="AC29" i="1"/>
  <c r="AE29" i="1"/>
  <c r="W29" i="1"/>
  <c r="W28" i="1"/>
  <c r="O28" i="1"/>
  <c r="S28" i="1"/>
  <c r="W56" i="1"/>
  <c r="AC71" i="1"/>
  <c r="L30" i="1"/>
  <c r="AH54" i="1"/>
  <c r="S120" i="1"/>
  <c r="O117" i="1"/>
  <c r="M117" i="1"/>
  <c r="AB28" i="1"/>
  <c r="Y56" i="1"/>
  <c r="Q76" i="1"/>
  <c r="AH53" i="1"/>
  <c r="AD32" i="1"/>
  <c r="AF71" i="1"/>
  <c r="M30" i="1"/>
  <c r="AB30" i="1"/>
  <c r="S117" i="1"/>
  <c r="AF117" i="1"/>
  <c r="P117" i="1"/>
  <c r="Z117" i="1"/>
  <c r="T117" i="1"/>
  <c r="Y117" i="1"/>
  <c r="N117" i="1"/>
  <c r="AC66" i="1"/>
  <c r="N30" i="1"/>
  <c r="P30" i="1"/>
  <c r="X117" i="1"/>
  <c r="U117" i="1"/>
  <c r="AH119" i="1"/>
  <c r="Y34" i="1"/>
  <c r="AH31" i="1"/>
  <c r="AH44" i="1"/>
  <c r="AB71" i="1"/>
  <c r="AH74" i="1"/>
  <c r="AH60" i="1"/>
  <c r="M71" i="1"/>
  <c r="L71" i="1"/>
  <c r="X28" i="1"/>
  <c r="V28" i="1"/>
  <c r="Y28" i="1"/>
  <c r="AD34" i="1"/>
  <c r="V71" i="1"/>
  <c r="AC26" i="1"/>
  <c r="R26" i="1"/>
  <c r="T71" i="1"/>
  <c r="W71" i="1"/>
  <c r="Q71" i="1"/>
  <c r="Y51" i="1"/>
  <c r="Z71" i="1"/>
  <c r="AH49" i="1"/>
  <c r="P71" i="1"/>
  <c r="N28" i="1"/>
  <c r="T28" i="1"/>
  <c r="AH65" i="1"/>
  <c r="AH75" i="1"/>
  <c r="AE118" i="1"/>
  <c r="AE28" i="1"/>
  <c r="V26" i="1"/>
  <c r="AH69" i="1"/>
  <c r="AH39" i="1"/>
  <c r="AH52" i="1"/>
  <c r="U34" i="1"/>
  <c r="X35" i="1"/>
  <c r="T66" i="1"/>
  <c r="AF28" i="1"/>
  <c r="T56" i="1"/>
  <c r="AD26" i="1"/>
  <c r="W26" i="1"/>
  <c r="L26" i="1"/>
  <c r="R32" i="1"/>
  <c r="AD71" i="1"/>
  <c r="AA71" i="1"/>
  <c r="U71" i="1"/>
  <c r="X71" i="1"/>
  <c r="X51" i="1"/>
  <c r="O32" i="1"/>
  <c r="AF35" i="1"/>
  <c r="W67" i="1"/>
  <c r="AE32" i="1"/>
  <c r="AF24" i="1"/>
  <c r="AB29" i="1"/>
  <c r="Q29" i="1"/>
  <c r="P29" i="1"/>
  <c r="V29" i="1"/>
  <c r="Y29" i="1"/>
  <c r="L29" i="1"/>
  <c r="U29" i="1"/>
  <c r="T29" i="1"/>
  <c r="M29" i="1"/>
  <c r="AF29" i="1"/>
  <c r="N29" i="1"/>
  <c r="Z29" i="1"/>
  <c r="AA26" i="1"/>
  <c r="R57" i="1"/>
  <c r="O67" i="1"/>
  <c r="Y35" i="1"/>
  <c r="O118" i="1"/>
  <c r="AF34" i="1"/>
  <c r="AE56" i="1"/>
  <c r="AC56" i="1"/>
  <c r="Q26" i="1"/>
  <c r="M26" i="1"/>
  <c r="AF26" i="1"/>
  <c r="U26" i="1"/>
  <c r="AC32" i="1"/>
  <c r="M32" i="1"/>
  <c r="L32" i="1"/>
  <c r="Q30" i="1"/>
  <c r="AA30" i="1"/>
  <c r="Y30" i="1"/>
  <c r="T30" i="1"/>
  <c r="S51" i="1"/>
  <c r="Z76" i="1"/>
  <c r="T67" i="1"/>
  <c r="AB57" i="1"/>
  <c r="V24" i="1"/>
  <c r="N67" i="1"/>
  <c r="Y32" i="1"/>
  <c r="T32" i="1"/>
  <c r="K38" i="1"/>
  <c r="AB38" i="1" s="1"/>
  <c r="AA51" i="1"/>
  <c r="Q67" i="1"/>
  <c r="Q34" i="1"/>
  <c r="N118" i="1"/>
  <c r="X30" i="1"/>
  <c r="AD66" i="1"/>
  <c r="AC28" i="1"/>
  <c r="X56" i="1"/>
  <c r="Z56" i="1"/>
  <c r="AA56" i="1"/>
  <c r="AA76" i="1"/>
  <c r="AE26" i="1"/>
  <c r="Y26" i="1"/>
  <c r="T26" i="1"/>
  <c r="P26" i="1"/>
  <c r="X32" i="1"/>
  <c r="N32" i="1"/>
  <c r="Q32" i="1"/>
  <c r="S30" i="1"/>
  <c r="R30" i="1"/>
  <c r="V30" i="1"/>
  <c r="L51" i="1"/>
  <c r="AD29" i="1"/>
  <c r="S29" i="1"/>
  <c r="N58" i="1"/>
  <c r="Y70" i="1"/>
  <c r="N70" i="1"/>
  <c r="Z70" i="1"/>
  <c r="Q70" i="1"/>
  <c r="AF70" i="1"/>
  <c r="M118" i="1"/>
  <c r="Z57" i="1"/>
  <c r="AE67" i="1"/>
  <c r="O35" i="1"/>
  <c r="U35" i="1"/>
  <c r="Q120" i="1"/>
  <c r="AC120" i="1"/>
  <c r="Z120" i="1"/>
  <c r="AE120" i="1"/>
  <c r="T120" i="1"/>
  <c r="AB118" i="1"/>
  <c r="AD57" i="1"/>
  <c r="O24" i="1"/>
  <c r="AE24" i="1"/>
  <c r="Y24" i="1"/>
  <c r="Z24" i="1"/>
  <c r="AB24" i="1"/>
  <c r="O58" i="1"/>
  <c r="K33" i="1"/>
  <c r="S33" i="1" s="1"/>
  <c r="AF57" i="1"/>
  <c r="M35" i="1"/>
  <c r="K59" i="1"/>
  <c r="AF59" i="1" s="1"/>
  <c r="AA58" i="1"/>
  <c r="W58" i="1"/>
  <c r="S58" i="1"/>
  <c r="Z58" i="1"/>
  <c r="AE58" i="1"/>
  <c r="K68" i="1"/>
  <c r="AA68" i="1" s="1"/>
  <c r="Z67" i="1"/>
  <c r="V67" i="1"/>
  <c r="S67" i="1"/>
  <c r="P67" i="1"/>
  <c r="AD118" i="1"/>
  <c r="T34" i="1"/>
  <c r="P34" i="1"/>
  <c r="AB34" i="1"/>
  <c r="AE34" i="1"/>
  <c r="W34" i="1"/>
  <c r="R35" i="1"/>
  <c r="AE57" i="1"/>
  <c r="X66" i="1"/>
  <c r="AF66" i="1"/>
  <c r="N66" i="1"/>
  <c r="M66" i="1"/>
  <c r="X70" i="1"/>
  <c r="T70" i="1"/>
  <c r="AE70" i="1"/>
  <c r="U70" i="1"/>
  <c r="AD70" i="1"/>
  <c r="AD56" i="1"/>
  <c r="AB56" i="1"/>
  <c r="O56" i="1"/>
  <c r="P56" i="1"/>
  <c r="M56" i="1"/>
  <c r="M76" i="1"/>
  <c r="L76" i="1"/>
  <c r="AC76" i="1"/>
  <c r="V118" i="1"/>
  <c r="U57" i="1"/>
  <c r="P35" i="1"/>
  <c r="T35" i="1"/>
  <c r="AD35" i="1"/>
  <c r="S32" i="1"/>
  <c r="U32" i="1"/>
  <c r="AB32" i="1"/>
  <c r="W32" i="1"/>
  <c r="Z32" i="1"/>
  <c r="K77" i="1"/>
  <c r="X120" i="1"/>
  <c r="R120" i="1"/>
  <c r="N120" i="1"/>
  <c r="O120" i="1"/>
  <c r="Y71" i="1"/>
  <c r="R71" i="1"/>
  <c r="S71" i="1"/>
  <c r="AE71" i="1"/>
  <c r="AF118" i="1"/>
  <c r="W118" i="1"/>
  <c r="W51" i="1"/>
  <c r="V51" i="1"/>
  <c r="M51" i="1"/>
  <c r="AB51" i="1"/>
  <c r="X57" i="1"/>
  <c r="P76" i="1"/>
  <c r="U24" i="1"/>
  <c r="S24" i="1"/>
  <c r="L24" i="1"/>
  <c r="AC24" i="1"/>
  <c r="AC67" i="1"/>
  <c r="R66" i="1"/>
  <c r="AF58" i="1"/>
  <c r="Y57" i="1"/>
  <c r="L57" i="1"/>
  <c r="O57" i="1"/>
  <c r="M57" i="1"/>
  <c r="S72" i="1"/>
  <c r="AC118" i="1"/>
  <c r="T57" i="1"/>
  <c r="W66" i="1"/>
  <c r="X58" i="1"/>
  <c r="T58" i="1"/>
  <c r="U58" i="1"/>
  <c r="L58" i="1"/>
  <c r="V58" i="1"/>
  <c r="Y67" i="1"/>
  <c r="AB67" i="1"/>
  <c r="L67" i="1"/>
  <c r="R67" i="1"/>
  <c r="W70" i="1"/>
  <c r="O34" i="1"/>
  <c r="X34" i="1"/>
  <c r="AA34" i="1"/>
  <c r="L34" i="1"/>
  <c r="M34" i="1"/>
  <c r="W35" i="1"/>
  <c r="Y118" i="1"/>
  <c r="N51" i="1"/>
  <c r="V57" i="1"/>
  <c r="AA66" i="1"/>
  <c r="K37" i="1"/>
  <c r="Z37" i="1" s="1"/>
  <c r="Z66" i="1"/>
  <c r="U66" i="1"/>
  <c r="P66" i="1"/>
  <c r="V66" i="1"/>
  <c r="AB70" i="1"/>
  <c r="O70" i="1"/>
  <c r="P70" i="1"/>
  <c r="AA70" i="1"/>
  <c r="V56" i="1"/>
  <c r="N56" i="1"/>
  <c r="L56" i="1"/>
  <c r="R56" i="1"/>
  <c r="S56" i="1"/>
  <c r="M67" i="1"/>
  <c r="AB76" i="1"/>
  <c r="Y76" i="1"/>
  <c r="S76" i="1"/>
  <c r="Q35" i="1"/>
  <c r="L118" i="1"/>
  <c r="T51" i="1"/>
  <c r="P57" i="1"/>
  <c r="U120" i="1"/>
  <c r="AB35" i="1"/>
  <c r="AC35" i="1"/>
  <c r="AE35" i="1"/>
  <c r="AA32" i="1"/>
  <c r="W120" i="1"/>
  <c r="V120" i="1"/>
  <c r="AF120" i="1"/>
  <c r="AB120" i="1"/>
  <c r="AD120" i="1"/>
  <c r="N71" i="1"/>
  <c r="O71" i="1"/>
  <c r="P118" i="1"/>
  <c r="X118" i="1"/>
  <c r="Z51" i="1"/>
  <c r="Q51" i="1"/>
  <c r="P51" i="1"/>
  <c r="AC51" i="1"/>
  <c r="AA57" i="1"/>
  <c r="AF67" i="1"/>
  <c r="K61" i="1"/>
  <c r="P61" i="1" s="1"/>
  <c r="X24" i="1"/>
  <c r="T24" i="1"/>
  <c r="P24" i="1"/>
  <c r="R24" i="1"/>
  <c r="M24" i="1"/>
  <c r="Y58" i="1"/>
  <c r="S35" i="1"/>
  <c r="N24" i="1"/>
  <c r="R118" i="1"/>
  <c r="M58" i="1"/>
  <c r="W57" i="1"/>
  <c r="R58" i="1"/>
  <c r="AD58" i="1"/>
  <c r="P58" i="1"/>
  <c r="AB58" i="1"/>
  <c r="Q58" i="1"/>
  <c r="AA67" i="1"/>
  <c r="U67" i="1"/>
  <c r="X67" i="1"/>
  <c r="L35" i="1"/>
  <c r="U118" i="1"/>
  <c r="AC34" i="1"/>
  <c r="Z34" i="1"/>
  <c r="V34" i="1"/>
  <c r="R34" i="1"/>
  <c r="N34" i="1"/>
  <c r="S118" i="1"/>
  <c r="M70" i="1"/>
  <c r="AC57" i="1"/>
  <c r="AE66" i="1"/>
  <c r="S66" i="1"/>
  <c r="Q66" i="1"/>
  <c r="AB66" i="1"/>
  <c r="L66" i="1"/>
  <c r="V70" i="1"/>
  <c r="S70" i="1"/>
  <c r="R70" i="1"/>
  <c r="L70" i="1"/>
  <c r="V35" i="1"/>
  <c r="S57" i="1"/>
  <c r="N35" i="1"/>
  <c r="Z35" i="1"/>
  <c r="M120" i="1"/>
  <c r="Y120" i="1"/>
  <c r="AA120" i="1"/>
  <c r="L120" i="1"/>
  <c r="Z118" i="1"/>
  <c r="U51" i="1"/>
  <c r="R51" i="1"/>
  <c r="O51" i="1"/>
  <c r="AE51" i="1"/>
  <c r="AF51" i="1"/>
  <c r="N57" i="1"/>
  <c r="AA24" i="1"/>
  <c r="W24" i="1"/>
  <c r="AD24" i="1"/>
  <c r="K27" i="1"/>
  <c r="S27" i="1" s="1"/>
  <c r="K50" i="1"/>
  <c r="AB50" i="1" s="1"/>
  <c r="K47" i="1"/>
  <c r="AC47" i="1" s="1"/>
  <c r="K63" i="1"/>
  <c r="R230" i="3" l="1"/>
  <c r="D113" i="2"/>
  <c r="D30" i="2"/>
  <c r="E22" i="2"/>
  <c r="C149" i="3"/>
  <c r="E205" i="1"/>
  <c r="M37" i="1"/>
  <c r="E12" i="2"/>
  <c r="F8" i="2"/>
  <c r="F9" i="2" s="1"/>
  <c r="E209" i="1" s="1"/>
  <c r="Q33" i="1"/>
  <c r="C141" i="3"/>
  <c r="C166" i="2"/>
  <c r="C167" i="2" s="1"/>
  <c r="C171" i="2"/>
  <c r="E10" i="2"/>
  <c r="C145" i="3"/>
  <c r="D24" i="2"/>
  <c r="AH40" i="1"/>
  <c r="Q61" i="1"/>
  <c r="T38" i="1"/>
  <c r="V59" i="1"/>
  <c r="M72" i="1"/>
  <c r="AA38" i="1"/>
  <c r="M59" i="1"/>
  <c r="L59" i="1"/>
  <c r="AH28" i="1"/>
  <c r="AH70" i="1"/>
  <c r="AH66" i="1"/>
  <c r="AH120" i="1"/>
  <c r="AH117" i="1"/>
  <c r="AD33" i="1"/>
  <c r="V33" i="1"/>
  <c r="W33" i="1"/>
  <c r="AE33" i="1"/>
  <c r="T33" i="1"/>
  <c r="L38" i="1"/>
  <c r="X33" i="1"/>
  <c r="N38" i="1"/>
  <c r="AH30" i="1"/>
  <c r="P33" i="1"/>
  <c r="U38" i="1"/>
  <c r="P68" i="1"/>
  <c r="AB33" i="1"/>
  <c r="AH34" i="1"/>
  <c r="Q38" i="1"/>
  <c r="AH67" i="1"/>
  <c r="AH58" i="1"/>
  <c r="T59" i="1"/>
  <c r="AH29" i="1"/>
  <c r="S38" i="1"/>
  <c r="AH26" i="1"/>
  <c r="AH57" i="1"/>
  <c r="AH35" i="1"/>
  <c r="AH51" i="1"/>
  <c r="AH32" i="1"/>
  <c r="AH118" i="1"/>
  <c r="AD38" i="1"/>
  <c r="V47" i="1"/>
  <c r="R59" i="1"/>
  <c r="W38" i="1"/>
  <c r="AH56" i="1"/>
  <c r="AC37" i="1"/>
  <c r="Z33" i="1"/>
  <c r="Z38" i="1"/>
  <c r="AC33" i="1"/>
  <c r="AH76" i="1"/>
  <c r="AF38" i="1"/>
  <c r="V38" i="1"/>
  <c r="AH71" i="1"/>
  <c r="AB61" i="1"/>
  <c r="N61" i="1"/>
  <c r="O61" i="1"/>
  <c r="L61" i="1"/>
  <c r="AF68" i="1"/>
  <c r="AC59" i="1"/>
  <c r="R38" i="1"/>
  <c r="P38" i="1"/>
  <c r="W61" i="1"/>
  <c r="X47" i="1"/>
  <c r="O38" i="1"/>
  <c r="AE38" i="1"/>
  <c r="O33" i="1"/>
  <c r="AA33" i="1"/>
  <c r="Y38" i="1"/>
  <c r="M38" i="1"/>
  <c r="AC38" i="1"/>
  <c r="AF33" i="1"/>
  <c r="Y33" i="1"/>
  <c r="M33" i="1"/>
  <c r="U33" i="1"/>
  <c r="R33" i="1"/>
  <c r="X38" i="1"/>
  <c r="M63" i="1"/>
  <c r="AC63" i="1"/>
  <c r="O63" i="1"/>
  <c r="T63" i="1"/>
  <c r="AE47" i="1"/>
  <c r="AC27" i="1"/>
  <c r="Y63" i="1"/>
  <c r="N50" i="1"/>
  <c r="W50" i="1"/>
  <c r="AC50" i="1"/>
  <c r="AE61" i="1"/>
  <c r="P47" i="1"/>
  <c r="R27" i="1"/>
  <c r="Y27" i="1"/>
  <c r="AD50" i="1"/>
  <c r="U72" i="1"/>
  <c r="AD72" i="1"/>
  <c r="T72" i="1"/>
  <c r="S50" i="1"/>
  <c r="N47" i="1"/>
  <c r="N77" i="1"/>
  <c r="T77" i="1"/>
  <c r="Y77" i="1"/>
  <c r="X77" i="1"/>
  <c r="AB77" i="1"/>
  <c r="W77" i="1"/>
  <c r="AF77" i="1"/>
  <c r="Q77" i="1"/>
  <c r="U77" i="1"/>
  <c r="AE77" i="1"/>
  <c r="L77" i="1"/>
  <c r="AC77" i="1"/>
  <c r="P77" i="1"/>
  <c r="AA77" i="1"/>
  <c r="AD77" i="1"/>
  <c r="O77" i="1"/>
  <c r="R77" i="1"/>
  <c r="M77" i="1"/>
  <c r="V77" i="1"/>
  <c r="Z77" i="1"/>
  <c r="L27" i="1"/>
  <c r="Z27" i="1"/>
  <c r="R37" i="1"/>
  <c r="X63" i="1"/>
  <c r="P50" i="1"/>
  <c r="S59" i="1"/>
  <c r="AE59" i="1"/>
  <c r="Y59" i="1"/>
  <c r="U59" i="1"/>
  <c r="N59" i="1"/>
  <c r="Z59" i="1"/>
  <c r="AD59" i="1"/>
  <c r="W59" i="1"/>
  <c r="P59" i="1"/>
  <c r="O59" i="1"/>
  <c r="X59" i="1"/>
  <c r="AA59" i="1"/>
  <c r="N63" i="1"/>
  <c r="AB47" i="1"/>
  <c r="U27" i="1"/>
  <c r="L50" i="1"/>
  <c r="N37" i="1"/>
  <c r="AA47" i="1"/>
  <c r="T27" i="1"/>
  <c r="Z47" i="1"/>
  <c r="X50" i="1"/>
  <c r="AA50" i="1"/>
  <c r="R61" i="1"/>
  <c r="X61" i="1"/>
  <c r="V61" i="1"/>
  <c r="Z61" i="1"/>
  <c r="S61" i="1"/>
  <c r="S47" i="1"/>
  <c r="AE63" i="1"/>
  <c r="AB27" i="1"/>
  <c r="AF47" i="1"/>
  <c r="R50" i="1"/>
  <c r="AF72" i="1"/>
  <c r="W72" i="1"/>
  <c r="R72" i="1"/>
  <c r="AD61" i="1"/>
  <c r="AD47" i="1"/>
  <c r="AD63" i="1"/>
  <c r="S63" i="1"/>
  <c r="AA27" i="1"/>
  <c r="V63" i="1"/>
  <c r="W37" i="1"/>
  <c r="AF61" i="1"/>
  <c r="Q50" i="1"/>
  <c r="T50" i="1"/>
  <c r="U50" i="1"/>
  <c r="W47" i="1"/>
  <c r="Q63" i="1"/>
  <c r="Q27" i="1"/>
  <c r="AB59" i="1"/>
  <c r="N27" i="1"/>
  <c r="AE50" i="1"/>
  <c r="Z63" i="1"/>
  <c r="R47" i="1"/>
  <c r="L47" i="1"/>
  <c r="AE27" i="1"/>
  <c r="AF27" i="1"/>
  <c r="M50" i="1"/>
  <c r="L72" i="1"/>
  <c r="Z72" i="1"/>
  <c r="AE72" i="1"/>
  <c r="P72" i="1"/>
  <c r="Q72" i="1"/>
  <c r="N72" i="1"/>
  <c r="V72" i="1"/>
  <c r="O72" i="1"/>
  <c r="U61" i="1"/>
  <c r="M61" i="1"/>
  <c r="Q47" i="1"/>
  <c r="Y47" i="1"/>
  <c r="AD27" i="1"/>
  <c r="AB63" i="1"/>
  <c r="W63" i="1"/>
  <c r="O50" i="1"/>
  <c r="AA72" i="1"/>
  <c r="M47" i="1"/>
  <c r="P27" i="1"/>
  <c r="Y50" i="1"/>
  <c r="V50" i="1"/>
  <c r="AA63" i="1"/>
  <c r="U47" i="1"/>
  <c r="V27" i="1"/>
  <c r="AF63" i="1"/>
  <c r="L63" i="1"/>
  <c r="Z50" i="1"/>
  <c r="W27" i="1"/>
  <c r="T61" i="1"/>
  <c r="AC61" i="1"/>
  <c r="T47" i="1"/>
  <c r="O27" i="1"/>
  <c r="P63" i="1"/>
  <c r="AA37" i="1"/>
  <c r="AE37" i="1"/>
  <c r="L37" i="1"/>
  <c r="P37" i="1"/>
  <c r="T37" i="1"/>
  <c r="Y37" i="1"/>
  <c r="AB37" i="1"/>
  <c r="AF37" i="1"/>
  <c r="U37" i="1"/>
  <c r="X37" i="1"/>
  <c r="AD37" i="1"/>
  <c r="O37" i="1"/>
  <c r="S37" i="1"/>
  <c r="V37" i="1"/>
  <c r="U63" i="1"/>
  <c r="AF50" i="1"/>
  <c r="Y72" i="1"/>
  <c r="AB72" i="1"/>
  <c r="X72" i="1"/>
  <c r="AC72" i="1"/>
  <c r="Y61" i="1"/>
  <c r="O47" i="1"/>
  <c r="S77" i="1"/>
  <c r="M27" i="1"/>
  <c r="Q37" i="1"/>
  <c r="AC68" i="1"/>
  <c r="S68" i="1"/>
  <c r="Y68" i="1"/>
  <c r="R68" i="1"/>
  <c r="AD68" i="1"/>
  <c r="V68" i="1"/>
  <c r="U68" i="1"/>
  <c r="Q68" i="1"/>
  <c r="AB68" i="1"/>
  <c r="AE68" i="1"/>
  <c r="N68" i="1"/>
  <c r="X68" i="1"/>
  <c r="M68" i="1"/>
  <c r="W68" i="1"/>
  <c r="L68" i="1"/>
  <c r="T68" i="1"/>
  <c r="Z68" i="1"/>
  <c r="O68" i="1"/>
  <c r="Q59" i="1"/>
  <c r="R63" i="1"/>
  <c r="N33" i="1"/>
  <c r="X27" i="1"/>
  <c r="AA61" i="1"/>
  <c r="L33" i="1"/>
  <c r="E113" i="2" l="1"/>
  <c r="E30" i="2"/>
  <c r="E62" i="2" s="1"/>
  <c r="F22" i="2"/>
  <c r="F205" i="1"/>
  <c r="G203" i="1"/>
  <c r="G205" i="1" s="1"/>
  <c r="F227" i="1"/>
  <c r="F10" i="2"/>
  <c r="F12" i="2"/>
  <c r="G8" i="2"/>
  <c r="G9" i="2" s="1"/>
  <c r="F209" i="1" s="1"/>
  <c r="AH24" i="1"/>
  <c r="AH68" i="1"/>
  <c r="AH63" i="1"/>
  <c r="R126" i="1"/>
  <c r="AH27" i="1"/>
  <c r="P126" i="1"/>
  <c r="L24" i="2" s="1"/>
  <c r="AH72" i="1"/>
  <c r="AH37" i="1"/>
  <c r="AH77" i="1"/>
  <c r="AH50" i="1"/>
  <c r="AH61" i="1"/>
  <c r="AD126" i="1"/>
  <c r="Z24" i="2" s="1"/>
  <c r="AH47" i="1"/>
  <c r="AH33" i="1"/>
  <c r="AA126" i="1"/>
  <c r="W24" i="2" s="1"/>
  <c r="U126" i="1"/>
  <c r="Q24" i="2" s="1"/>
  <c r="AE126" i="1"/>
  <c r="AA24" i="2" s="1"/>
  <c r="AC126" i="1"/>
  <c r="Y24" i="2" s="1"/>
  <c r="T126" i="1"/>
  <c r="P24" i="2" s="1"/>
  <c r="Q126" i="1"/>
  <c r="M24" i="2" s="1"/>
  <c r="N126" i="1"/>
  <c r="J24" i="2" s="1"/>
  <c r="W126" i="1"/>
  <c r="S24" i="2" s="1"/>
  <c r="O126" i="1"/>
  <c r="K24" i="2" s="1"/>
  <c r="V126" i="1"/>
  <c r="R24" i="2" s="1"/>
  <c r="X126" i="1"/>
  <c r="T24" i="2" s="1"/>
  <c r="L126" i="1"/>
  <c r="H24" i="2" s="1"/>
  <c r="S126" i="1"/>
  <c r="O24" i="2" s="1"/>
  <c r="AF126" i="1"/>
  <c r="AB24" i="2" s="1"/>
  <c r="Y126" i="1"/>
  <c r="U24" i="2" s="1"/>
  <c r="Z126" i="1"/>
  <c r="V24" i="2" s="1"/>
  <c r="M126" i="1"/>
  <c r="I24" i="2" s="1"/>
  <c r="AB126" i="1"/>
  <c r="X24" i="2" s="1"/>
  <c r="F113" i="2" l="1"/>
  <c r="G22" i="2"/>
  <c r="F30" i="2"/>
  <c r="F62" i="2" s="1"/>
  <c r="G227" i="1"/>
  <c r="H8" i="2"/>
  <c r="H9" i="2" s="1"/>
  <c r="G209" i="1" s="1"/>
  <c r="G10" i="2"/>
  <c r="G12" i="2"/>
  <c r="AH38" i="1"/>
  <c r="AH59" i="1"/>
  <c r="AG126" i="1"/>
  <c r="R128" i="1"/>
  <c r="N24" i="2"/>
  <c r="AF128" i="1"/>
  <c r="Q128" i="1"/>
  <c r="M128" i="1"/>
  <c r="O128" i="1"/>
  <c r="AA128" i="1"/>
  <c r="AD128" i="1"/>
  <c r="Z128" i="1"/>
  <c r="W128" i="1"/>
  <c r="AC128" i="1"/>
  <c r="AB128" i="1"/>
  <c r="V128" i="1"/>
  <c r="U128" i="1"/>
  <c r="P128" i="1"/>
  <c r="S128" i="1"/>
  <c r="T128" i="1"/>
  <c r="Y128" i="1"/>
  <c r="X128" i="1"/>
  <c r="N128" i="1"/>
  <c r="AE128" i="1"/>
  <c r="L128" i="1"/>
  <c r="H22" i="2" l="1"/>
  <c r="G30" i="2"/>
  <c r="G62" i="2" s="1"/>
  <c r="G113" i="2"/>
  <c r="H227" i="1"/>
  <c r="H12" i="2"/>
  <c r="H10" i="2"/>
  <c r="I8" i="2"/>
  <c r="I9" i="2" s="1"/>
  <c r="I227" i="1" s="1"/>
  <c r="AH126" i="1"/>
  <c r="D55" i="2"/>
  <c r="E55" i="2" s="1"/>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D56" i="2"/>
  <c r="E56" i="2" s="1"/>
  <c r="F56" i="2" s="1"/>
  <c r="G56" i="2" s="1"/>
  <c r="H56" i="2" s="1"/>
  <c r="I56" i="2" s="1"/>
  <c r="J56" i="2" s="1"/>
  <c r="K56" i="2" s="1"/>
  <c r="L56" i="2" s="1"/>
  <c r="M56" i="2" s="1"/>
  <c r="N56" i="2" s="1"/>
  <c r="O56" i="2" s="1"/>
  <c r="P56" i="2" s="1"/>
  <c r="Q56" i="2" s="1"/>
  <c r="R56" i="2" s="1"/>
  <c r="S56" i="2" s="1"/>
  <c r="T56" i="2" s="1"/>
  <c r="U56" i="2" s="1"/>
  <c r="V56" i="2" s="1"/>
  <c r="W56" i="2" s="1"/>
  <c r="X56" i="2" s="1"/>
  <c r="Y56" i="2" s="1"/>
  <c r="Z56" i="2" s="1"/>
  <c r="AA56" i="2" s="1"/>
  <c r="AB56" i="2" s="1"/>
  <c r="H30" i="2" l="1"/>
  <c r="H62" i="2" s="1"/>
  <c r="H113" i="2"/>
  <c r="I22" i="2"/>
  <c r="J8" i="2"/>
  <c r="J9" i="2" s="1"/>
  <c r="J12" i="2" s="1"/>
  <c r="C217" i="1"/>
  <c r="C223" i="1" s="1"/>
  <c r="C225" i="1" s="1"/>
  <c r="I12" i="2"/>
  <c r="I10" i="2"/>
  <c r="C227" i="1"/>
  <c r="D54" i="2"/>
  <c r="E54" i="2" s="1"/>
  <c r="F54" i="2" s="1"/>
  <c r="G54" i="2" s="1"/>
  <c r="H54" i="2" s="1"/>
  <c r="I54" i="2" s="1"/>
  <c r="J54" i="2" s="1"/>
  <c r="K54" i="2" s="1"/>
  <c r="L54" i="2" s="1"/>
  <c r="M54" i="2" s="1"/>
  <c r="N54" i="2" s="1"/>
  <c r="O54" i="2" s="1"/>
  <c r="P54" i="2" s="1"/>
  <c r="Q54" i="2" s="1"/>
  <c r="R54" i="2" s="1"/>
  <c r="S54" i="2" s="1"/>
  <c r="T54" i="2" s="1"/>
  <c r="U54" i="2" s="1"/>
  <c r="V54" i="2" s="1"/>
  <c r="W54" i="2" s="1"/>
  <c r="X54" i="2" s="1"/>
  <c r="Y54" i="2" s="1"/>
  <c r="Z54" i="2" s="1"/>
  <c r="AA54" i="2" s="1"/>
  <c r="AB54" i="2" s="1"/>
  <c r="I113" i="2" l="1"/>
  <c r="J22" i="2"/>
  <c r="I30" i="2"/>
  <c r="I62" i="2" s="1"/>
  <c r="J10" i="2"/>
  <c r="K8" i="2"/>
  <c r="K9" i="2" s="1"/>
  <c r="L8" i="2" s="1"/>
  <c r="L9" i="2" s="1"/>
  <c r="J113" i="2" l="1"/>
  <c r="J30" i="2"/>
  <c r="K22" i="2"/>
  <c r="J62" i="2"/>
  <c r="K12" i="2"/>
  <c r="K10" i="2"/>
  <c r="L10" i="2" s="1"/>
  <c r="L12" i="2"/>
  <c r="M8" i="2"/>
  <c r="M9" i="2" s="1"/>
  <c r="L22" i="2" l="1"/>
  <c r="K113" i="2"/>
  <c r="K30" i="2"/>
  <c r="K62" i="2" s="1"/>
  <c r="M12" i="2"/>
  <c r="N8" i="2"/>
  <c r="N9" i="2" s="1"/>
  <c r="M10" i="2"/>
  <c r="M22" i="2" l="1"/>
  <c r="L113" i="2"/>
  <c r="L30" i="2"/>
  <c r="L62" i="2" s="1"/>
  <c r="N12" i="2"/>
  <c r="O8" i="2"/>
  <c r="O9" i="2" s="1"/>
  <c r="N10" i="2"/>
  <c r="M113" i="2" l="1"/>
  <c r="M30" i="2"/>
  <c r="M62" i="2" s="1"/>
  <c r="N22" i="2"/>
  <c r="O12" i="2"/>
  <c r="P8" i="2"/>
  <c r="P9" i="2" s="1"/>
  <c r="O10" i="2"/>
  <c r="O22" i="2" l="1"/>
  <c r="N113" i="2"/>
  <c r="N30" i="2"/>
  <c r="N62" i="2" s="1"/>
  <c r="P12" i="2"/>
  <c r="Q8" i="2"/>
  <c r="Q9" i="2" s="1"/>
  <c r="P10" i="2"/>
  <c r="P22" i="2" l="1"/>
  <c r="O113" i="2"/>
  <c r="O30" i="2"/>
  <c r="O62" i="2" s="1"/>
  <c r="Q12" i="2"/>
  <c r="R8" i="2"/>
  <c r="R9" i="2" s="1"/>
  <c r="Q10" i="2"/>
  <c r="P113" i="2" l="1"/>
  <c r="Q22" i="2"/>
  <c r="P30" i="2"/>
  <c r="P62" i="2" s="1"/>
  <c r="R12" i="2"/>
  <c r="S8" i="2"/>
  <c r="S9" i="2" s="1"/>
  <c r="R10" i="2"/>
  <c r="Q30" i="2" l="1"/>
  <c r="Q62" i="2" s="1"/>
  <c r="R22" i="2"/>
  <c r="Q113" i="2"/>
  <c r="S12" i="2"/>
  <c r="T8" i="2"/>
  <c r="T9" i="2" s="1"/>
  <c r="S10" i="2"/>
  <c r="R30" i="2" l="1"/>
  <c r="R62" i="2" s="1"/>
  <c r="S22" i="2"/>
  <c r="R113" i="2"/>
  <c r="T12" i="2"/>
  <c r="U8" i="2"/>
  <c r="U9" i="2" s="1"/>
  <c r="T10" i="2"/>
  <c r="S30" i="2" l="1"/>
  <c r="S62" i="2" s="1"/>
  <c r="T22" i="2"/>
  <c r="S113" i="2"/>
  <c r="U12" i="2"/>
  <c r="V8" i="2"/>
  <c r="V9" i="2" s="1"/>
  <c r="U10" i="2"/>
  <c r="T113" i="2" l="1"/>
  <c r="T30" i="2"/>
  <c r="T62" i="2" s="1"/>
  <c r="U22" i="2"/>
  <c r="V12" i="2"/>
  <c r="W8" i="2"/>
  <c r="W9" i="2" s="1"/>
  <c r="V10" i="2"/>
  <c r="U113" i="2" l="1"/>
  <c r="V22" i="2"/>
  <c r="U30" i="2"/>
  <c r="U62" i="2" s="1"/>
  <c r="W12" i="2"/>
  <c r="X8" i="2"/>
  <c r="X9" i="2" s="1"/>
  <c r="W10" i="2"/>
  <c r="V30" i="2" l="1"/>
  <c r="V62" i="2" s="1"/>
  <c r="V113" i="2"/>
  <c r="W22" i="2"/>
  <c r="X12" i="2"/>
  <c r="Y8" i="2"/>
  <c r="Y9" i="2" s="1"/>
  <c r="X10" i="2"/>
  <c r="W113" i="2" l="1"/>
  <c r="X22" i="2"/>
  <c r="W30" i="2"/>
  <c r="W62" i="2" s="1"/>
  <c r="Y12" i="2"/>
  <c r="Z8" i="2"/>
  <c r="Z9" i="2" s="1"/>
  <c r="Y10" i="2"/>
  <c r="X30" i="2" l="1"/>
  <c r="X113" i="2"/>
  <c r="Y22" i="2"/>
  <c r="AA8" i="2"/>
  <c r="AA9" i="2" s="1"/>
  <c r="Z12" i="2"/>
  <c r="Z10" i="2"/>
  <c r="Y30" i="2" l="1"/>
  <c r="Y62" i="2" s="1"/>
  <c r="Z22" i="2"/>
  <c r="Y113" i="2"/>
  <c r="AA12" i="2"/>
  <c r="AB8" i="2"/>
  <c r="AB9" i="2" s="1"/>
  <c r="AB12" i="2" s="1"/>
  <c r="AA10" i="2"/>
  <c r="Z30" i="2" l="1"/>
  <c r="Z62" i="2" s="1"/>
  <c r="Z113" i="2"/>
  <c r="AA22" i="2"/>
  <c r="AB10" i="2"/>
  <c r="AI124" i="1" s="1"/>
  <c r="AA30" i="2" l="1"/>
  <c r="AA62" i="2" s="1"/>
  <c r="AA113" i="2"/>
  <c r="AB22" i="2"/>
  <c r="AI115" i="1"/>
  <c r="AI111" i="1"/>
  <c r="AI107" i="1"/>
  <c r="AI112" i="1"/>
  <c r="AI108" i="1"/>
  <c r="AI106" i="1"/>
  <c r="AI104" i="1"/>
  <c r="AI101" i="1"/>
  <c r="AI114" i="1"/>
  <c r="AI110" i="1"/>
  <c r="AI99" i="1"/>
  <c r="AI113" i="1"/>
  <c r="AI109" i="1"/>
  <c r="AI105" i="1"/>
  <c r="AI103" i="1"/>
  <c r="AI102" i="1"/>
  <c r="AI91" i="1"/>
  <c r="AI55" i="1"/>
  <c r="AI73" i="1"/>
  <c r="AI36" i="1"/>
  <c r="AI94" i="1"/>
  <c r="AI92" i="1"/>
  <c r="AI89" i="1"/>
  <c r="AI87" i="1"/>
  <c r="AI86" i="1"/>
  <c r="AI83" i="1"/>
  <c r="AI96" i="1"/>
  <c r="AI84" i="1"/>
  <c r="AI81" i="1"/>
  <c r="AI95" i="1"/>
  <c r="AI93" i="1"/>
  <c r="AI90" i="1"/>
  <c r="AI88" i="1"/>
  <c r="AI97" i="1"/>
  <c r="AI85" i="1"/>
  <c r="AI69" i="1"/>
  <c r="AI67" i="1"/>
  <c r="AI45" i="1"/>
  <c r="AI26" i="1"/>
  <c r="AI44" i="1"/>
  <c r="AI118" i="1"/>
  <c r="AI42" i="1"/>
  <c r="AI32" i="1"/>
  <c r="AI78" i="1"/>
  <c r="AI24" i="1"/>
  <c r="AI79" i="1"/>
  <c r="AI29" i="1"/>
  <c r="AI72" i="1"/>
  <c r="AI59" i="1"/>
  <c r="AI38" i="1"/>
  <c r="AI51" i="1"/>
  <c r="AI37" i="1"/>
  <c r="AI33" i="1"/>
  <c r="AI52" i="1"/>
  <c r="AI39" i="1"/>
  <c r="AI77" i="1"/>
  <c r="AI66" i="1"/>
  <c r="AI71" i="1"/>
  <c r="AI28" i="1"/>
  <c r="AI49" i="1"/>
  <c r="AI76" i="1"/>
  <c r="AI53" i="1"/>
  <c r="AI54" i="1"/>
  <c r="AI65" i="1"/>
  <c r="AI40" i="1"/>
  <c r="AI34" i="1"/>
  <c r="AI47" i="1"/>
  <c r="AI57" i="1"/>
  <c r="AI30" i="1"/>
  <c r="AI31" i="1"/>
  <c r="AI74" i="1"/>
  <c r="AI63" i="1"/>
  <c r="AI117" i="1"/>
  <c r="AI120" i="1"/>
  <c r="AI121" i="1"/>
  <c r="AI70" i="1"/>
  <c r="AI60" i="1"/>
  <c r="AI75" i="1"/>
  <c r="AI122" i="1"/>
  <c r="AI41" i="1"/>
  <c r="AI119" i="1"/>
  <c r="AI35" i="1"/>
  <c r="AI61" i="1"/>
  <c r="AI27" i="1"/>
  <c r="AI50" i="1"/>
  <c r="AI56" i="1"/>
  <c r="AI58" i="1"/>
  <c r="AI68" i="1"/>
  <c r="AB30" i="2" l="1"/>
  <c r="AB113" i="2"/>
  <c r="C146" i="3"/>
  <c r="AI126" i="1"/>
  <c r="F17" i="2" l="1"/>
  <c r="D17" i="2"/>
  <c r="AB17" i="2"/>
  <c r="Y17" i="2"/>
  <c r="Z17" i="2"/>
  <c r="X17" i="2"/>
  <c r="AA17" i="2"/>
  <c r="H17" i="2"/>
  <c r="P17" i="2"/>
  <c r="S17" i="2"/>
  <c r="Q17" i="2"/>
  <c r="R17" i="2"/>
  <c r="W17" i="2"/>
  <c r="G17" i="2"/>
  <c r="M17" i="2"/>
  <c r="E17" i="2"/>
  <c r="L17" i="2"/>
  <c r="K17" i="2"/>
  <c r="I17" i="2"/>
  <c r="N17" i="2"/>
  <c r="O17" i="2"/>
  <c r="U17" i="2"/>
  <c r="T17" i="2"/>
  <c r="V17" i="2"/>
  <c r="J17" i="2"/>
  <c r="AC17" i="2" l="1"/>
  <c r="X62" i="2" l="1"/>
  <c r="L172" i="1" l="1"/>
  <c r="A172" i="2" l="1"/>
  <c r="AB62" i="2"/>
  <c r="D25" i="2" l="1"/>
  <c r="H156" i="1"/>
  <c r="C127" i="1" l="1"/>
  <c r="D171" i="1" s="1"/>
  <c r="D62" i="2"/>
  <c r="D27" i="2"/>
  <c r="C114" i="3" s="1"/>
  <c r="C128" i="1" l="1"/>
  <c r="AG127" i="1"/>
  <c r="AH127" i="1" s="1"/>
  <c r="AH128" i="1" s="1"/>
  <c r="C171" i="1"/>
  <c r="D31" i="2"/>
  <c r="E27" i="2"/>
  <c r="D114" i="3" s="1"/>
  <c r="C126" i="2" l="1"/>
  <c r="C169" i="1"/>
  <c r="D170" i="1"/>
  <c r="AI127" i="1"/>
  <c r="AI128" i="1" s="1"/>
  <c r="Y113" i="3" s="1"/>
  <c r="AG128" i="1"/>
  <c r="F27" i="2"/>
  <c r="E114" i="3" s="1"/>
  <c r="V16" i="2"/>
  <c r="J16" i="2"/>
  <c r="N16" i="2"/>
  <c r="W112" i="3"/>
  <c r="P112" i="3"/>
  <c r="R112" i="3"/>
  <c r="O112" i="3"/>
  <c r="H112" i="3"/>
  <c r="K112" i="3"/>
  <c r="I112" i="3"/>
  <c r="N112" i="3"/>
  <c r="Z112" i="3"/>
  <c r="C112" i="3"/>
  <c r="X16" i="2"/>
  <c r="F16" i="2"/>
  <c r="G16" i="2"/>
  <c r="AA16" i="2"/>
  <c r="S16" i="2"/>
  <c r="Y16" i="2"/>
  <c r="R16" i="2"/>
  <c r="O16" i="2"/>
  <c r="D16" i="2"/>
  <c r="X112" i="3"/>
  <c r="J112" i="3"/>
  <c r="T112" i="3"/>
  <c r="L112" i="3"/>
  <c r="G112" i="3"/>
  <c r="P16" i="2"/>
  <c r="V112" i="3"/>
  <c r="T16" i="2"/>
  <c r="W16" i="2"/>
  <c r="Q16" i="2"/>
  <c r="U16" i="2"/>
  <c r="H16" i="2"/>
  <c r="E16" i="2"/>
  <c r="K16" i="2"/>
  <c r="Z16" i="2"/>
  <c r="L16" i="2"/>
  <c r="I16" i="2"/>
  <c r="U112" i="3"/>
  <c r="Q112" i="3"/>
  <c r="M112" i="3"/>
  <c r="Y112" i="3"/>
  <c r="AA112" i="3"/>
  <c r="S112" i="3"/>
  <c r="M16" i="2"/>
  <c r="E112" i="3"/>
  <c r="D112" i="3"/>
  <c r="AB16" i="2"/>
  <c r="F112" i="3"/>
  <c r="C173" i="1" l="1"/>
  <c r="E222" i="1" s="1"/>
  <c r="C170" i="1"/>
  <c r="C172" i="1" s="1"/>
  <c r="B147" i="2"/>
  <c r="B146" i="2"/>
  <c r="D172" i="1"/>
  <c r="U113" i="3"/>
  <c r="I113" i="3"/>
  <c r="G113" i="3"/>
  <c r="K113" i="3"/>
  <c r="M113" i="3"/>
  <c r="E113" i="3"/>
  <c r="D113" i="3"/>
  <c r="H113" i="3"/>
  <c r="V113" i="3"/>
  <c r="W113" i="3"/>
  <c r="F113" i="3"/>
  <c r="J113" i="3"/>
  <c r="S113" i="3"/>
  <c r="O113" i="3"/>
  <c r="N113" i="3"/>
  <c r="Z113" i="3"/>
  <c r="L113" i="3"/>
  <c r="T113" i="3"/>
  <c r="P113" i="3"/>
  <c r="Q113" i="3"/>
  <c r="C113" i="3"/>
  <c r="AA113" i="3"/>
  <c r="R113" i="3"/>
  <c r="X113" i="3"/>
  <c r="AB112" i="3"/>
  <c r="G27" i="2"/>
  <c r="F114" i="3" s="1"/>
  <c r="AC16" i="2"/>
  <c r="C185" i="1" l="1"/>
  <c r="D173" i="1"/>
  <c r="E226" i="1"/>
  <c r="F228" i="1" s="1"/>
  <c r="F222" i="1"/>
  <c r="F226" i="1" s="1"/>
  <c r="G228" i="1" s="1"/>
  <c r="H222" i="1"/>
  <c r="H226" i="1" s="1"/>
  <c r="I228" i="1" s="1"/>
  <c r="G222" i="1"/>
  <c r="G226" i="1" s="1"/>
  <c r="H228" i="1" s="1"/>
  <c r="I222" i="1"/>
  <c r="I226" i="1" s="1"/>
  <c r="C222" i="1"/>
  <c r="C226" i="1" s="1"/>
  <c r="C228" i="1" s="1"/>
  <c r="C186" i="1"/>
  <c r="D186" i="1" s="1"/>
  <c r="B148" i="2"/>
  <c r="G154" i="2" s="1"/>
  <c r="G127" i="2" s="1"/>
  <c r="AB113" i="3"/>
  <c r="H27" i="2"/>
  <c r="G114" i="3" s="1"/>
  <c r="H185" i="1" l="1"/>
  <c r="D185" i="1"/>
  <c r="D34" i="2" s="1"/>
  <c r="D72" i="2" s="1"/>
  <c r="D154" i="2"/>
  <c r="D127" i="2" s="1"/>
  <c r="J154" i="2"/>
  <c r="J127" i="2" s="1"/>
  <c r="F154" i="2"/>
  <c r="F127" i="2" s="1"/>
  <c r="K154" i="2"/>
  <c r="K127" i="2" s="1"/>
  <c r="L154" i="2"/>
  <c r="L127" i="2" s="1"/>
  <c r="M154" i="2"/>
  <c r="M127" i="2" s="1"/>
  <c r="N154" i="2"/>
  <c r="N127" i="2" s="1"/>
  <c r="O154" i="2"/>
  <c r="O127" i="2" s="1"/>
  <c r="C157" i="2"/>
  <c r="I154" i="2"/>
  <c r="I127" i="2" s="1"/>
  <c r="H154" i="2"/>
  <c r="H127" i="2" s="1"/>
  <c r="E154" i="2"/>
  <c r="E127" i="2" s="1"/>
  <c r="C187" i="1"/>
  <c r="H186" i="1"/>
  <c r="C128" i="2"/>
  <c r="I27" i="2"/>
  <c r="H114" i="3" s="1"/>
  <c r="D155" i="2" l="1"/>
  <c r="D117" i="2" s="1"/>
  <c r="D156" i="2"/>
  <c r="D157" i="2" s="1"/>
  <c r="H187" i="1"/>
  <c r="G186" i="1"/>
  <c r="D87" i="2"/>
  <c r="D93" i="2"/>
  <c r="D85" i="2"/>
  <c r="D95" i="2"/>
  <c r="D89" i="2"/>
  <c r="D97" i="2"/>
  <c r="D91" i="2"/>
  <c r="K186" i="1"/>
  <c r="D35" i="2"/>
  <c r="D36" i="2" s="1"/>
  <c r="E222" i="3" s="1"/>
  <c r="D187" i="1"/>
  <c r="J27" i="2"/>
  <c r="I114" i="3" s="1"/>
  <c r="E155" i="2" l="1"/>
  <c r="E117" i="2" s="1"/>
  <c r="E156" i="2"/>
  <c r="E157" i="2" s="1"/>
  <c r="F155" i="2" s="1"/>
  <c r="W32" i="2"/>
  <c r="W63" i="2" s="1"/>
  <c r="U32" i="2"/>
  <c r="U63" i="2" s="1"/>
  <c r="H32" i="2"/>
  <c r="H19" i="2" s="1"/>
  <c r="H28" i="2" s="1"/>
  <c r="H115" i="2" s="1"/>
  <c r="R32" i="2"/>
  <c r="R63" i="2" s="1"/>
  <c r="J32" i="2"/>
  <c r="J63" i="2" s="1"/>
  <c r="V32" i="2"/>
  <c r="V63" i="2" s="1"/>
  <c r="E32" i="2"/>
  <c r="E19" i="2" s="1"/>
  <c r="E28" i="2" s="1"/>
  <c r="E115" i="2" s="1"/>
  <c r="AB32" i="2"/>
  <c r="AB63" i="2" s="1"/>
  <c r="Z32" i="2"/>
  <c r="Z63" i="2" s="1"/>
  <c r="K32" i="2"/>
  <c r="K63" i="2" s="1"/>
  <c r="N32" i="2"/>
  <c r="N63" i="2" s="1"/>
  <c r="Y32" i="2"/>
  <c r="Y63" i="2" s="1"/>
  <c r="S32" i="2"/>
  <c r="S63" i="2" s="1"/>
  <c r="L32" i="2"/>
  <c r="L63" i="2" s="1"/>
  <c r="I32" i="2"/>
  <c r="I19" i="2" s="1"/>
  <c r="I28" i="2" s="1"/>
  <c r="I115" i="2" s="1"/>
  <c r="AA32" i="2"/>
  <c r="AA63" i="2" s="1"/>
  <c r="P32" i="2"/>
  <c r="P63" i="2" s="1"/>
  <c r="M32" i="2"/>
  <c r="M63" i="2" s="1"/>
  <c r="D32" i="2"/>
  <c r="O32" i="2"/>
  <c r="O63" i="2" s="1"/>
  <c r="T32" i="2"/>
  <c r="T63" i="2" s="1"/>
  <c r="X32" i="2"/>
  <c r="X63" i="2" s="1"/>
  <c r="F32" i="2"/>
  <c r="G32" i="2"/>
  <c r="G19" i="2" s="1"/>
  <c r="G28" i="2" s="1"/>
  <c r="G115" i="2" s="1"/>
  <c r="Q32" i="2"/>
  <c r="Q63" i="2" s="1"/>
  <c r="K185" i="1"/>
  <c r="K187" i="1" s="1"/>
  <c r="G185" i="1"/>
  <c r="G187" i="1" s="1"/>
  <c r="E229" i="3"/>
  <c r="E223" i="3"/>
  <c r="E228" i="3"/>
  <c r="E224" i="3"/>
  <c r="E226" i="3"/>
  <c r="E227" i="3"/>
  <c r="E225" i="3"/>
  <c r="K27" i="2"/>
  <c r="J114" i="3" s="1"/>
  <c r="F156" i="2" l="1"/>
  <c r="F157" i="2" s="1"/>
  <c r="G155" i="2" s="1"/>
  <c r="F117" i="2"/>
  <c r="K19" i="2"/>
  <c r="K28" i="2" s="1"/>
  <c r="K115" i="2" s="1"/>
  <c r="F19" i="2"/>
  <c r="F28" i="2" s="1"/>
  <c r="F115" i="2" s="1"/>
  <c r="D19" i="2"/>
  <c r="D28" i="2" s="1"/>
  <c r="J19" i="2"/>
  <c r="J28" i="2" s="1"/>
  <c r="J115" i="2" s="1"/>
  <c r="G63" i="2"/>
  <c r="O64" i="2"/>
  <c r="O65" i="2"/>
  <c r="AA65" i="2"/>
  <c r="AA64" i="2"/>
  <c r="Y64" i="2"/>
  <c r="Y65" i="2"/>
  <c r="AB65" i="2"/>
  <c r="AB64" i="2"/>
  <c r="R64" i="2"/>
  <c r="R65" i="2"/>
  <c r="F63" i="2"/>
  <c r="D33" i="2"/>
  <c r="D63" i="2"/>
  <c r="D65" i="2" s="1"/>
  <c r="D66" i="2" s="1"/>
  <c r="I63" i="2"/>
  <c r="N64" i="2"/>
  <c r="N65" i="2"/>
  <c r="E63" i="2"/>
  <c r="H63" i="2"/>
  <c r="E230" i="3"/>
  <c r="X65" i="2"/>
  <c r="X64" i="2"/>
  <c r="M64" i="2"/>
  <c r="M65" i="2"/>
  <c r="L65" i="2"/>
  <c r="L64" i="2"/>
  <c r="K64" i="2"/>
  <c r="K65" i="2"/>
  <c r="V64" i="2"/>
  <c r="V65" i="2"/>
  <c r="U64" i="2"/>
  <c r="U65" i="2"/>
  <c r="Q65" i="2"/>
  <c r="Q64" i="2"/>
  <c r="T64" i="2"/>
  <c r="T65" i="2"/>
  <c r="P64" i="2"/>
  <c r="P65" i="2"/>
  <c r="S64" i="2"/>
  <c r="S65" i="2"/>
  <c r="Z64" i="2"/>
  <c r="Z65" i="2"/>
  <c r="J65" i="2"/>
  <c r="J64" i="2"/>
  <c r="W65" i="2"/>
  <c r="W64" i="2"/>
  <c r="L27" i="2"/>
  <c r="G117" i="2" l="1"/>
  <c r="G156" i="2"/>
  <c r="G157" i="2" s="1"/>
  <c r="H155" i="2" s="1"/>
  <c r="L19" i="2"/>
  <c r="L28" i="2" s="1"/>
  <c r="L115" i="2" s="1"/>
  <c r="K114" i="3"/>
  <c r="D37" i="2"/>
  <c r="D29" i="2"/>
  <c r="D115" i="2"/>
  <c r="E64" i="2"/>
  <c r="E65" i="2"/>
  <c r="I65" i="2"/>
  <c r="I64" i="2"/>
  <c r="F65" i="2"/>
  <c r="F64" i="2"/>
  <c r="H65" i="2"/>
  <c r="H64" i="2"/>
  <c r="D64" i="2"/>
  <c r="G65" i="2"/>
  <c r="G64" i="2"/>
  <c r="M27" i="2"/>
  <c r="H117" i="2" l="1"/>
  <c r="H156" i="2"/>
  <c r="H157" i="2" s="1"/>
  <c r="I155" i="2" s="1"/>
  <c r="M19" i="2"/>
  <c r="M28" i="2" s="1"/>
  <c r="M115" i="2" s="1"/>
  <c r="L114" i="3"/>
  <c r="C172" i="2"/>
  <c r="E45" i="2"/>
  <c r="C148" i="3"/>
  <c r="D40" i="2"/>
  <c r="D111" i="2"/>
  <c r="D114" i="2" s="1"/>
  <c r="D124" i="2" s="1"/>
  <c r="D132" i="2" s="1"/>
  <c r="C52" i="3" s="1"/>
  <c r="D70" i="2"/>
  <c r="D73" i="2"/>
  <c r="D92" i="2" s="1"/>
  <c r="C14" i="3" s="1"/>
  <c r="D50" i="2"/>
  <c r="D53" i="2" s="1"/>
  <c r="E31" i="2"/>
  <c r="E29" i="2"/>
  <c r="D100" i="2"/>
  <c r="N27" i="2"/>
  <c r="I117" i="2" l="1"/>
  <c r="I156" i="2"/>
  <c r="I157" i="2" s="1"/>
  <c r="J155" i="2" s="1"/>
  <c r="N19" i="2"/>
  <c r="N28" i="2" s="1"/>
  <c r="N115" i="2" s="1"/>
  <c r="M114" i="3"/>
  <c r="D41" i="2"/>
  <c r="D68" i="2"/>
  <c r="D81" i="2" s="1"/>
  <c r="D90" i="2"/>
  <c r="C12" i="3" s="1"/>
  <c r="E44" i="2"/>
  <c r="E46" i="2" s="1"/>
  <c r="D98" i="2"/>
  <c r="C20" i="3" s="1"/>
  <c r="D86" i="2"/>
  <c r="C8" i="3" s="1"/>
  <c r="D94" i="2"/>
  <c r="C16" i="3" s="1"/>
  <c r="D88" i="2"/>
  <c r="C10" i="3" s="1"/>
  <c r="D96" i="2"/>
  <c r="C18" i="3" s="1"/>
  <c r="E50" i="2"/>
  <c r="F29" i="2"/>
  <c r="F31" i="2"/>
  <c r="E34" i="2"/>
  <c r="E72" i="2" s="1"/>
  <c r="E35" i="2"/>
  <c r="E36" i="2" s="1"/>
  <c r="E33" i="2"/>
  <c r="C86" i="3"/>
  <c r="C85" i="3"/>
  <c r="C84" i="3"/>
  <c r="D133" i="2"/>
  <c r="C54" i="3" s="1"/>
  <c r="D116" i="2"/>
  <c r="D118" i="2" s="1"/>
  <c r="D119" i="2" s="1"/>
  <c r="E100" i="2"/>
  <c r="F100" i="2" s="1"/>
  <c r="G100" i="2" s="1"/>
  <c r="H100" i="2" s="1"/>
  <c r="I100" i="2" s="1"/>
  <c r="J100" i="2" s="1"/>
  <c r="K100" i="2" s="1"/>
  <c r="L100" i="2" s="1"/>
  <c r="M100" i="2" s="1"/>
  <c r="N100" i="2" s="1"/>
  <c r="O100" i="2" s="1"/>
  <c r="P100" i="2" s="1"/>
  <c r="Q100" i="2" s="1"/>
  <c r="R100" i="2" s="1"/>
  <c r="S100" i="2" s="1"/>
  <c r="T100" i="2" s="1"/>
  <c r="U100" i="2" s="1"/>
  <c r="V100" i="2" s="1"/>
  <c r="W100" i="2" s="1"/>
  <c r="X100" i="2" s="1"/>
  <c r="Y100" i="2" s="1"/>
  <c r="Z100" i="2" s="1"/>
  <c r="AA100" i="2" s="1"/>
  <c r="AB100" i="2" s="1"/>
  <c r="C151" i="3"/>
  <c r="C150" i="3"/>
  <c r="O27" i="2"/>
  <c r="J117" i="2" l="1"/>
  <c r="J156" i="2"/>
  <c r="J157" i="2" s="1"/>
  <c r="O19" i="2"/>
  <c r="O28" i="2" s="1"/>
  <c r="O115" i="2" s="1"/>
  <c r="N114" i="3"/>
  <c r="D78" i="2"/>
  <c r="D77" i="2"/>
  <c r="D76" i="2"/>
  <c r="D80" i="2"/>
  <c r="D82" i="2"/>
  <c r="B229" i="3" s="1"/>
  <c r="D229" i="3" s="1"/>
  <c r="D79" i="2"/>
  <c r="D120" i="2"/>
  <c r="D134" i="2"/>
  <c r="C56" i="3" s="1"/>
  <c r="E37" i="2"/>
  <c r="E73" i="2" s="1"/>
  <c r="E97" i="2"/>
  <c r="E93" i="2"/>
  <c r="E91" i="2"/>
  <c r="E85" i="2"/>
  <c r="E87" i="2"/>
  <c r="E89" i="2"/>
  <c r="E95" i="2"/>
  <c r="F35" i="2"/>
  <c r="F36" i="2" s="1"/>
  <c r="F34" i="2"/>
  <c r="F72" i="2" s="1"/>
  <c r="F33" i="2"/>
  <c r="F50" i="2"/>
  <c r="G29" i="2"/>
  <c r="G31" i="2"/>
  <c r="C87" i="3"/>
  <c r="C19" i="3"/>
  <c r="C13" i="3"/>
  <c r="B228" i="3"/>
  <c r="F228" i="3" s="1"/>
  <c r="G228" i="3" s="1"/>
  <c r="H228" i="3" s="1"/>
  <c r="C17" i="3"/>
  <c r="C9" i="3"/>
  <c r="C15" i="3"/>
  <c r="C7" i="3"/>
  <c r="C11" i="3"/>
  <c r="D125" i="2"/>
  <c r="D126" i="2" s="1"/>
  <c r="D128" i="2" s="1"/>
  <c r="E51" i="2"/>
  <c r="E53" i="2" s="1"/>
  <c r="P27" i="2"/>
  <c r="K156" i="2" l="1"/>
  <c r="K157" i="2" s="1"/>
  <c r="K155" i="2"/>
  <c r="K117" i="2" s="1"/>
  <c r="B227" i="3"/>
  <c r="B226" i="3"/>
  <c r="F226" i="3" s="1"/>
  <c r="G226" i="3" s="1"/>
  <c r="H226" i="3" s="1"/>
  <c r="B225" i="3"/>
  <c r="B224" i="3"/>
  <c r="F224" i="3" s="1"/>
  <c r="G224" i="3" s="1"/>
  <c r="H224" i="3" s="1"/>
  <c r="B223" i="3"/>
  <c r="F223" i="3" s="1"/>
  <c r="P19" i="2"/>
  <c r="P28" i="2" s="1"/>
  <c r="P115" i="2" s="1"/>
  <c r="O114" i="3"/>
  <c r="E111" i="2"/>
  <c r="E114" i="2" s="1"/>
  <c r="E124" i="2" s="1"/>
  <c r="E40" i="2"/>
  <c r="E68" i="2" s="1"/>
  <c r="E70" i="2"/>
  <c r="F44" i="2"/>
  <c r="G34" i="2"/>
  <c r="G72" i="2" s="1"/>
  <c r="G33" i="2"/>
  <c r="G35" i="2"/>
  <c r="G36" i="2" s="1"/>
  <c r="E96" i="2"/>
  <c r="D18" i="3" s="1"/>
  <c r="E94" i="2"/>
  <c r="D16" i="3" s="1"/>
  <c r="E92" i="2"/>
  <c r="D14" i="3" s="1"/>
  <c r="E90" i="2"/>
  <c r="D12" i="3" s="1"/>
  <c r="E86" i="2"/>
  <c r="D8" i="3" s="1"/>
  <c r="E88" i="2"/>
  <c r="D10" i="3" s="1"/>
  <c r="E98" i="2"/>
  <c r="D20" i="3" s="1"/>
  <c r="G50" i="2"/>
  <c r="H31" i="2"/>
  <c r="H29" i="2"/>
  <c r="F37" i="2"/>
  <c r="F89" i="2"/>
  <c r="F97" i="2"/>
  <c r="F95" i="2"/>
  <c r="F93" i="2"/>
  <c r="F85" i="2"/>
  <c r="F87" i="2"/>
  <c r="F91" i="2"/>
  <c r="D228" i="3"/>
  <c r="I228" i="3" s="1"/>
  <c r="K228" i="3" s="1"/>
  <c r="L228" i="3" s="1"/>
  <c r="M228" i="3" s="1"/>
  <c r="F229" i="3"/>
  <c r="G229" i="3" s="1"/>
  <c r="H229" i="3" s="1"/>
  <c r="I229" i="3" s="1"/>
  <c r="K229" i="3" s="1"/>
  <c r="L229" i="3" s="1"/>
  <c r="M229" i="3" s="1"/>
  <c r="D85" i="3"/>
  <c r="D84" i="3"/>
  <c r="D86" i="3"/>
  <c r="Q27" i="2"/>
  <c r="L156" i="2" l="1"/>
  <c r="L157" i="2" s="1"/>
  <c r="L155" i="2"/>
  <c r="L117" i="2" s="1"/>
  <c r="F225" i="3"/>
  <c r="G225" i="3" s="1"/>
  <c r="H225" i="3" s="1"/>
  <c r="D225" i="3"/>
  <c r="D227" i="3"/>
  <c r="F227" i="3"/>
  <c r="G227" i="3" s="1"/>
  <c r="H227" i="3" s="1"/>
  <c r="I227" i="3" s="1"/>
  <c r="K227" i="3" s="1"/>
  <c r="L227" i="3" s="1"/>
  <c r="M227" i="3" s="1"/>
  <c r="E76" i="2"/>
  <c r="D7" i="3" s="1"/>
  <c r="E81" i="2"/>
  <c r="D17" i="3" s="1"/>
  <c r="D223" i="3"/>
  <c r="G223" i="3"/>
  <c r="B230" i="3"/>
  <c r="D230" i="3" s="1"/>
  <c r="D224" i="3"/>
  <c r="I224" i="3" s="1"/>
  <c r="K224" i="3" s="1"/>
  <c r="L224" i="3" s="1"/>
  <c r="M224" i="3" s="1"/>
  <c r="O224" i="3" s="1"/>
  <c r="D226" i="3"/>
  <c r="I226" i="3" s="1"/>
  <c r="K226" i="3" s="1"/>
  <c r="L226" i="3" s="1"/>
  <c r="M226" i="3" s="1"/>
  <c r="Q19" i="2"/>
  <c r="Q28" i="2" s="1"/>
  <c r="Q115" i="2" s="1"/>
  <c r="P114" i="3"/>
  <c r="E80" i="2"/>
  <c r="D15" i="3" s="1"/>
  <c r="E82" i="2"/>
  <c r="D19" i="3" s="1"/>
  <c r="E79" i="2"/>
  <c r="D13" i="3" s="1"/>
  <c r="E78" i="2"/>
  <c r="D11" i="3" s="1"/>
  <c r="E116" i="2"/>
  <c r="E118" i="2" s="1"/>
  <c r="E119" i="2" s="1"/>
  <c r="E77" i="2"/>
  <c r="D9" i="3" s="1"/>
  <c r="F45" i="2"/>
  <c r="F46" i="2" s="1"/>
  <c r="F51" i="2" s="1"/>
  <c r="F53" i="2" s="1"/>
  <c r="E86" i="3" s="1"/>
  <c r="H33" i="2"/>
  <c r="H35" i="2"/>
  <c r="H36" i="2" s="1"/>
  <c r="H34" i="2"/>
  <c r="H72" i="2" s="1"/>
  <c r="F111" i="2"/>
  <c r="G44" i="2"/>
  <c r="F40" i="2"/>
  <c r="F68" i="2" s="1"/>
  <c r="F70" i="2"/>
  <c r="F73" i="2"/>
  <c r="E132" i="2"/>
  <c r="D52" i="3" s="1"/>
  <c r="E133" i="2"/>
  <c r="D54" i="3" s="1"/>
  <c r="G37" i="2"/>
  <c r="I29" i="2"/>
  <c r="I31" i="2"/>
  <c r="H50" i="2"/>
  <c r="G95" i="2"/>
  <c r="G85" i="2"/>
  <c r="G87" i="2"/>
  <c r="G91" i="2"/>
  <c r="G97" i="2"/>
  <c r="G89" i="2"/>
  <c r="G93" i="2"/>
  <c r="F230" i="3"/>
  <c r="O228" i="3"/>
  <c r="N228" i="3"/>
  <c r="Q228" i="3"/>
  <c r="D87" i="3"/>
  <c r="N229" i="3"/>
  <c r="O229" i="3"/>
  <c r="Q229" i="3"/>
  <c r="R27" i="2"/>
  <c r="I225" i="3" l="1"/>
  <c r="K225" i="3" s="1"/>
  <c r="L225" i="3" s="1"/>
  <c r="M225" i="3" s="1"/>
  <c r="M156" i="2"/>
  <c r="M157" i="2" s="1"/>
  <c r="M155" i="2"/>
  <c r="M117" i="2" s="1"/>
  <c r="N227" i="3"/>
  <c r="Q227" i="3"/>
  <c r="O227" i="3"/>
  <c r="G230" i="3"/>
  <c r="H223" i="3"/>
  <c r="I223" i="3" s="1"/>
  <c r="K223" i="3" s="1"/>
  <c r="L223" i="3" s="1"/>
  <c r="N224" i="3"/>
  <c r="Q224" i="3"/>
  <c r="Q226" i="3"/>
  <c r="N226" i="3"/>
  <c r="O226" i="3"/>
  <c r="R19" i="2"/>
  <c r="R28" i="2" s="1"/>
  <c r="R115" i="2" s="1"/>
  <c r="Q114" i="3"/>
  <c r="E85" i="3"/>
  <c r="E84" i="3"/>
  <c r="G45" i="2"/>
  <c r="G46" i="2" s="1"/>
  <c r="I33" i="2"/>
  <c r="I35" i="2"/>
  <c r="I36" i="2" s="1"/>
  <c r="I34" i="2"/>
  <c r="I72" i="2" s="1"/>
  <c r="F98" i="2"/>
  <c r="E20" i="3" s="1"/>
  <c r="F86" i="2"/>
  <c r="E8" i="3" s="1"/>
  <c r="F90" i="2"/>
  <c r="E12" i="3" s="1"/>
  <c r="F96" i="2"/>
  <c r="E18" i="3" s="1"/>
  <c r="F94" i="2"/>
  <c r="E16" i="3" s="1"/>
  <c r="F92" i="2"/>
  <c r="E14" i="3" s="1"/>
  <c r="F88" i="2"/>
  <c r="E10" i="3" s="1"/>
  <c r="F114" i="2"/>
  <c r="J29" i="2"/>
  <c r="I50" i="2"/>
  <c r="J31" i="2"/>
  <c r="H85" i="2"/>
  <c r="H97" i="2"/>
  <c r="H87" i="2"/>
  <c r="H89" i="2"/>
  <c r="H93" i="2"/>
  <c r="H95" i="2"/>
  <c r="H91" i="2"/>
  <c r="G40" i="2"/>
  <c r="G68" i="2" s="1"/>
  <c r="G111" i="2"/>
  <c r="H44" i="2"/>
  <c r="G73" i="2"/>
  <c r="G70" i="2"/>
  <c r="E125" i="2"/>
  <c r="E126" i="2" s="1"/>
  <c r="E128" i="2" s="1"/>
  <c r="E134" i="2"/>
  <c r="D56" i="3" s="1"/>
  <c r="E120" i="2"/>
  <c r="F80" i="2"/>
  <c r="E15" i="3" s="1"/>
  <c r="F78" i="2"/>
  <c r="E11" i="3" s="1"/>
  <c r="F82" i="2"/>
  <c r="E19" i="3" s="1"/>
  <c r="F77" i="2"/>
  <c r="E9" i="3" s="1"/>
  <c r="F81" i="2"/>
  <c r="E17" i="3" s="1"/>
  <c r="F79" i="2"/>
  <c r="E13" i="3" s="1"/>
  <c r="F76" i="2"/>
  <c r="E7" i="3" s="1"/>
  <c r="H37" i="2"/>
  <c r="C235" i="3" s="1"/>
  <c r="S27" i="2"/>
  <c r="O225" i="3" l="1"/>
  <c r="Q225" i="3"/>
  <c r="N225" i="3"/>
  <c r="N156" i="2"/>
  <c r="N157" i="2" s="1"/>
  <c r="N155" i="2"/>
  <c r="N117" i="2" s="1"/>
  <c r="M223" i="3"/>
  <c r="L230" i="3"/>
  <c r="S19" i="2"/>
  <c r="S28" i="2" s="1"/>
  <c r="S115" i="2" s="1"/>
  <c r="R114" i="3"/>
  <c r="E87" i="3"/>
  <c r="H45" i="2"/>
  <c r="H46" i="2" s="1"/>
  <c r="G51" i="2"/>
  <c r="G53" i="2" s="1"/>
  <c r="G114" i="2"/>
  <c r="G79" i="2"/>
  <c r="F13" i="3" s="1"/>
  <c r="G78" i="2"/>
  <c r="F11" i="3" s="1"/>
  <c r="G77" i="2"/>
  <c r="F9" i="3" s="1"/>
  <c r="G80" i="2"/>
  <c r="F15" i="3" s="1"/>
  <c r="G82" i="2"/>
  <c r="F19" i="3" s="1"/>
  <c r="G76" i="2"/>
  <c r="F7" i="3" s="1"/>
  <c r="G81" i="2"/>
  <c r="F17" i="3" s="1"/>
  <c r="J34" i="2"/>
  <c r="J72" i="2" s="1"/>
  <c r="J35" i="2"/>
  <c r="J36" i="2" s="1"/>
  <c r="J33" i="2"/>
  <c r="F124" i="2"/>
  <c r="F116" i="2"/>
  <c r="F118" i="2" s="1"/>
  <c r="I91" i="2"/>
  <c r="I87" i="2"/>
  <c r="I95" i="2"/>
  <c r="I93" i="2"/>
  <c r="I89" i="2"/>
  <c r="I97" i="2"/>
  <c r="I85" i="2"/>
  <c r="G86" i="2"/>
  <c r="F8" i="3" s="1"/>
  <c r="G88" i="2"/>
  <c r="F10" i="3" s="1"/>
  <c r="G92" i="2"/>
  <c r="F14" i="3" s="1"/>
  <c r="G94" i="2"/>
  <c r="F16" i="3" s="1"/>
  <c r="G98" i="2"/>
  <c r="F20" i="3" s="1"/>
  <c r="G90" i="2"/>
  <c r="F12" i="3" s="1"/>
  <c r="G96" i="2"/>
  <c r="F18" i="3" s="1"/>
  <c r="H40" i="2"/>
  <c r="H68" i="2" s="1"/>
  <c r="H70" i="2"/>
  <c r="H73" i="2"/>
  <c r="I44" i="2"/>
  <c r="H111" i="2"/>
  <c r="J50" i="2"/>
  <c r="K31" i="2"/>
  <c r="K29" i="2"/>
  <c r="I37" i="2"/>
  <c r="T27" i="2"/>
  <c r="O156" i="2" l="1"/>
  <c r="O157" i="2" s="1"/>
  <c r="O155" i="2"/>
  <c r="O117" i="2" s="1"/>
  <c r="Q223" i="3"/>
  <c r="Q230" i="3" s="1"/>
  <c r="S230" i="3" s="1"/>
  <c r="S231" i="3" s="1"/>
  <c r="N223" i="3"/>
  <c r="M230" i="3"/>
  <c r="O223" i="3"/>
  <c r="T19" i="2"/>
  <c r="T28" i="2" s="1"/>
  <c r="T115" i="2" s="1"/>
  <c r="S114" i="3"/>
  <c r="J37" i="2"/>
  <c r="J70" i="2" s="1"/>
  <c r="I45" i="2"/>
  <c r="I46" i="2" s="1"/>
  <c r="J44" i="2"/>
  <c r="I111" i="2"/>
  <c r="I73" i="2"/>
  <c r="I40" i="2"/>
  <c r="I68" i="2" s="1"/>
  <c r="I70" i="2"/>
  <c r="F119" i="2"/>
  <c r="F120" i="2" s="1"/>
  <c r="J87" i="2"/>
  <c r="J85" i="2"/>
  <c r="J97" i="2"/>
  <c r="J89" i="2"/>
  <c r="J91" i="2"/>
  <c r="J95" i="2"/>
  <c r="J93" i="2"/>
  <c r="K50" i="2"/>
  <c r="L29" i="2"/>
  <c r="L31" i="2"/>
  <c r="H114" i="2"/>
  <c r="H76" i="2"/>
  <c r="G7" i="3" s="1"/>
  <c r="H80" i="2"/>
  <c r="G15" i="3" s="1"/>
  <c r="H78" i="2"/>
  <c r="G11" i="3" s="1"/>
  <c r="H79" i="2"/>
  <c r="G13" i="3" s="1"/>
  <c r="H77" i="2"/>
  <c r="G9" i="3" s="1"/>
  <c r="H82" i="2"/>
  <c r="G19" i="3" s="1"/>
  <c r="H81" i="2"/>
  <c r="G17" i="3" s="1"/>
  <c r="F132" i="2"/>
  <c r="E52" i="3" s="1"/>
  <c r="F133" i="2"/>
  <c r="E54" i="3" s="1"/>
  <c r="G116" i="2"/>
  <c r="G118" i="2" s="1"/>
  <c r="G124" i="2"/>
  <c r="K33" i="2"/>
  <c r="K35" i="2"/>
  <c r="K36" i="2" s="1"/>
  <c r="K34" i="2"/>
  <c r="K72" i="2" s="1"/>
  <c r="H51" i="2"/>
  <c r="H53" i="2" s="1"/>
  <c r="H96" i="2"/>
  <c r="G18" i="3" s="1"/>
  <c r="H86" i="2"/>
  <c r="G8" i="3" s="1"/>
  <c r="H98" i="2"/>
  <c r="G20" i="3" s="1"/>
  <c r="H94" i="2"/>
  <c r="G16" i="3" s="1"/>
  <c r="H88" i="2"/>
  <c r="G10" i="3" s="1"/>
  <c r="H90" i="2"/>
  <c r="G12" i="3" s="1"/>
  <c r="H92" i="2"/>
  <c r="G14" i="3" s="1"/>
  <c r="F85" i="3"/>
  <c r="F86" i="3"/>
  <c r="F84" i="3"/>
  <c r="U27" i="2"/>
  <c r="P156" i="2" l="1"/>
  <c r="P157" i="2" s="1"/>
  <c r="P155" i="2"/>
  <c r="P117" i="2" s="1"/>
  <c r="N230" i="3"/>
  <c r="O230" i="3"/>
  <c r="U19" i="2"/>
  <c r="U28" i="2" s="1"/>
  <c r="U115" i="2" s="1"/>
  <c r="T114" i="3"/>
  <c r="J40" i="2"/>
  <c r="J68" i="2" s="1"/>
  <c r="J81" i="2" s="1"/>
  <c r="J111" i="2"/>
  <c r="J114" i="2" s="1"/>
  <c r="K45" i="2"/>
  <c r="J73" i="2"/>
  <c r="J90" i="2" s="1"/>
  <c r="J45" i="2"/>
  <c r="J46" i="2" s="1"/>
  <c r="F87" i="3"/>
  <c r="I51" i="2"/>
  <c r="I53" i="2" s="1"/>
  <c r="L33" i="2"/>
  <c r="L35" i="2"/>
  <c r="L36" i="2" s="1"/>
  <c r="L34" i="2"/>
  <c r="L72" i="2" s="1"/>
  <c r="G119" i="2"/>
  <c r="G120" i="2" s="1"/>
  <c r="I80" i="2"/>
  <c r="I77" i="2"/>
  <c r="I81" i="2"/>
  <c r="I79" i="2"/>
  <c r="I82" i="2"/>
  <c r="I76" i="2"/>
  <c r="I78" i="2"/>
  <c r="K37" i="2"/>
  <c r="M31" i="2"/>
  <c r="L50" i="2"/>
  <c r="M29" i="2"/>
  <c r="I92" i="2"/>
  <c r="I94" i="2"/>
  <c r="I88" i="2"/>
  <c r="I96" i="2"/>
  <c r="I98" i="2"/>
  <c r="I86" i="2"/>
  <c r="I90" i="2"/>
  <c r="G132" i="2"/>
  <c r="F52" i="3" s="1"/>
  <c r="G133" i="2"/>
  <c r="F54" i="3" s="1"/>
  <c r="I114" i="2"/>
  <c r="G86" i="3"/>
  <c r="G85" i="3"/>
  <c r="G84" i="3"/>
  <c r="K97" i="2"/>
  <c r="K87" i="2"/>
  <c r="K89" i="2"/>
  <c r="K95" i="2"/>
  <c r="K93" i="2"/>
  <c r="K91" i="2"/>
  <c r="K85" i="2"/>
  <c r="H124" i="2"/>
  <c r="H116" i="2"/>
  <c r="H118" i="2" s="1"/>
  <c r="F125" i="2"/>
  <c r="F126" i="2" s="1"/>
  <c r="F128" i="2" s="1"/>
  <c r="F134" i="2"/>
  <c r="E56" i="3" s="1"/>
  <c r="V27" i="2"/>
  <c r="U114" i="3" s="1"/>
  <c r="Q156" i="2" l="1"/>
  <c r="Q157" i="2" s="1"/>
  <c r="Q155" i="2"/>
  <c r="Q117" i="2" s="1"/>
  <c r="J79" i="2"/>
  <c r="J82" i="2"/>
  <c r="J78" i="2"/>
  <c r="J76" i="2"/>
  <c r="K44" i="2"/>
  <c r="K46" i="2" s="1"/>
  <c r="J77" i="2"/>
  <c r="J80" i="2"/>
  <c r="J94" i="2"/>
  <c r="J92" i="2"/>
  <c r="J96" i="2"/>
  <c r="J98" i="2"/>
  <c r="J86" i="2"/>
  <c r="J88" i="2"/>
  <c r="L37" i="2"/>
  <c r="M44" i="2" s="1"/>
  <c r="W27" i="2"/>
  <c r="V114" i="3" s="1"/>
  <c r="V19" i="2"/>
  <c r="V28" i="2" s="1"/>
  <c r="V115" i="2" s="1"/>
  <c r="G87" i="3"/>
  <c r="I124" i="2"/>
  <c r="I116" i="2"/>
  <c r="I118" i="2" s="1"/>
  <c r="I119" i="2" s="1"/>
  <c r="J116" i="2"/>
  <c r="J118" i="2" s="1"/>
  <c r="J124" i="2"/>
  <c r="M34" i="2"/>
  <c r="M72" i="2" s="1"/>
  <c r="M33" i="2"/>
  <c r="M35" i="2"/>
  <c r="M36" i="2" s="1"/>
  <c r="J51" i="2"/>
  <c r="J53" i="2" s="1"/>
  <c r="H119" i="2"/>
  <c r="H120" i="2" s="1"/>
  <c r="L45" i="2"/>
  <c r="K40" i="2"/>
  <c r="K68" i="2" s="1"/>
  <c r="K70" i="2"/>
  <c r="K111" i="2"/>
  <c r="K73" i="2"/>
  <c r="G125" i="2"/>
  <c r="G126" i="2" s="1"/>
  <c r="G128" i="2" s="1"/>
  <c r="G134" i="2"/>
  <c r="F56" i="3" s="1"/>
  <c r="H133" i="2"/>
  <c r="G54" i="3" s="1"/>
  <c r="H132" i="2"/>
  <c r="G52" i="3" s="1"/>
  <c r="N29" i="2"/>
  <c r="N31" i="2"/>
  <c r="M50" i="2"/>
  <c r="L91" i="2"/>
  <c r="L97" i="2"/>
  <c r="L85" i="2"/>
  <c r="L95" i="2"/>
  <c r="L93" i="2"/>
  <c r="L89" i="2"/>
  <c r="L87" i="2"/>
  <c r="R156" i="2" l="1"/>
  <c r="R157" i="2" s="1"/>
  <c r="R155" i="2"/>
  <c r="R117" i="2" s="1"/>
  <c r="L40" i="2"/>
  <c r="L68" i="2" s="1"/>
  <c r="L81" i="2" s="1"/>
  <c r="L73" i="2"/>
  <c r="L90" i="2" s="1"/>
  <c r="L70" i="2"/>
  <c r="L111" i="2"/>
  <c r="L114" i="2" s="1"/>
  <c r="L116" i="2" s="1"/>
  <c r="L118" i="2" s="1"/>
  <c r="I125" i="2"/>
  <c r="I126" i="2" s="1"/>
  <c r="I128" i="2" s="1"/>
  <c r="I134" i="2"/>
  <c r="K82" i="2"/>
  <c r="K79" i="2"/>
  <c r="K80" i="2"/>
  <c r="K76" i="2"/>
  <c r="K78" i="2"/>
  <c r="K81" i="2"/>
  <c r="K77" i="2"/>
  <c r="M45" i="2"/>
  <c r="M87" i="2"/>
  <c r="M85" i="2"/>
  <c r="M97" i="2"/>
  <c r="M91" i="2"/>
  <c r="M93" i="2"/>
  <c r="M89" i="2"/>
  <c r="M95" i="2"/>
  <c r="I133" i="2"/>
  <c r="I132" i="2"/>
  <c r="N34" i="2"/>
  <c r="N72" i="2" s="1"/>
  <c r="N33" i="2"/>
  <c r="N35" i="2"/>
  <c r="N36" i="2" s="1"/>
  <c r="K86" i="2"/>
  <c r="K92" i="2"/>
  <c r="K90" i="2"/>
  <c r="K96" i="2"/>
  <c r="K88" i="2"/>
  <c r="K98" i="2"/>
  <c r="K94" i="2"/>
  <c r="L44" i="2"/>
  <c r="L46" i="2" s="1"/>
  <c r="H125" i="2"/>
  <c r="H126" i="2" s="1"/>
  <c r="H128" i="2" s="1"/>
  <c r="H134" i="2"/>
  <c r="G56" i="3" s="1"/>
  <c r="J133" i="2"/>
  <c r="J132" i="2"/>
  <c r="N50" i="2"/>
  <c r="O29" i="2"/>
  <c r="O31" i="2"/>
  <c r="K114" i="2"/>
  <c r="J119" i="2"/>
  <c r="J120" i="2" s="1"/>
  <c r="K51" i="2"/>
  <c r="K53" i="2" s="1"/>
  <c r="M37" i="2"/>
  <c r="I120" i="2"/>
  <c r="X27" i="2"/>
  <c r="S156" i="2" l="1"/>
  <c r="S157" i="2" s="1"/>
  <c r="S155" i="2"/>
  <c r="S117" i="2" s="1"/>
  <c r="X19" i="2"/>
  <c r="X28" i="2" s="1"/>
  <c r="X115" i="2" s="1"/>
  <c r="W114" i="3"/>
  <c r="L96" i="2"/>
  <c r="L79" i="2"/>
  <c r="L77" i="2"/>
  <c r="L76" i="2"/>
  <c r="L78" i="2"/>
  <c r="L82" i="2"/>
  <c r="L80" i="2"/>
  <c r="L88" i="2"/>
  <c r="L92" i="2"/>
  <c r="L98" i="2"/>
  <c r="L86" i="2"/>
  <c r="L94" i="2"/>
  <c r="L124" i="2"/>
  <c r="N37" i="2"/>
  <c r="N73" i="2" s="1"/>
  <c r="K124" i="2"/>
  <c r="K116" i="2"/>
  <c r="K118" i="2" s="1"/>
  <c r="N97" i="2"/>
  <c r="N85" i="2"/>
  <c r="N95" i="2"/>
  <c r="N93" i="2"/>
  <c r="N87" i="2"/>
  <c r="N91" i="2"/>
  <c r="N89" i="2"/>
  <c r="O34" i="2"/>
  <c r="O72" i="2" s="1"/>
  <c r="O35" i="2"/>
  <c r="O36" i="2" s="1"/>
  <c r="O33" i="2"/>
  <c r="W19" i="2"/>
  <c r="W28" i="2" s="1"/>
  <c r="W115" i="2" s="1"/>
  <c r="M111" i="2"/>
  <c r="M70" i="2"/>
  <c r="M73" i="2"/>
  <c r="N44" i="2"/>
  <c r="M40" i="2"/>
  <c r="M68" i="2" s="1"/>
  <c r="M46" i="2"/>
  <c r="L51" i="2"/>
  <c r="L53" i="2" s="1"/>
  <c r="J125" i="2"/>
  <c r="J126" i="2" s="1"/>
  <c r="J128" i="2" s="1"/>
  <c r="J134" i="2"/>
  <c r="P31" i="2"/>
  <c r="P29" i="2"/>
  <c r="O50" i="2"/>
  <c r="Y27" i="2"/>
  <c r="T156" i="2" l="1"/>
  <c r="T157" i="2" s="1"/>
  <c r="T155" i="2"/>
  <c r="T117" i="2" s="1"/>
  <c r="L133" i="2"/>
  <c r="L132" i="2"/>
  <c r="K133" i="2"/>
  <c r="K132" i="2"/>
  <c r="Y19" i="2"/>
  <c r="Y28" i="2" s="1"/>
  <c r="Y115" i="2" s="1"/>
  <c r="X114" i="3"/>
  <c r="N70" i="2"/>
  <c r="N40" i="2"/>
  <c r="N68" i="2" s="1"/>
  <c r="N82" i="2" s="1"/>
  <c r="N111" i="2"/>
  <c r="N114" i="2" s="1"/>
  <c r="N116" i="2" s="1"/>
  <c r="N118" i="2" s="1"/>
  <c r="O37" i="2"/>
  <c r="P44" i="2" s="1"/>
  <c r="N45" i="2"/>
  <c r="N46" i="2" s="1"/>
  <c r="P34" i="2"/>
  <c r="P72" i="2" s="1"/>
  <c r="P33" i="2"/>
  <c r="P35" i="2"/>
  <c r="P36" i="2" s="1"/>
  <c r="M51" i="2"/>
  <c r="M53" i="2" s="1"/>
  <c r="M96" i="2"/>
  <c r="M94" i="2"/>
  <c r="M92" i="2"/>
  <c r="M88" i="2"/>
  <c r="M86" i="2"/>
  <c r="M90" i="2"/>
  <c r="M98" i="2"/>
  <c r="M80" i="2"/>
  <c r="M77" i="2"/>
  <c r="M78" i="2"/>
  <c r="M81" i="2"/>
  <c r="M82" i="2"/>
  <c r="M76" i="2"/>
  <c r="M79" i="2"/>
  <c r="M114" i="2"/>
  <c r="N90" i="2"/>
  <c r="N86" i="2"/>
  <c r="N98" i="2"/>
  <c r="N88" i="2"/>
  <c r="N96" i="2"/>
  <c r="N94" i="2"/>
  <c r="N92" i="2"/>
  <c r="P50" i="2"/>
  <c r="Q29" i="2"/>
  <c r="Q31" i="2"/>
  <c r="O85" i="2"/>
  <c r="O91" i="2"/>
  <c r="O93" i="2"/>
  <c r="O89" i="2"/>
  <c r="O95" i="2"/>
  <c r="O97" i="2"/>
  <c r="O87" i="2"/>
  <c r="K119" i="2"/>
  <c r="L119" i="2"/>
  <c r="Z27" i="2"/>
  <c r="U156" i="2" l="1"/>
  <c r="U157" i="2" s="1"/>
  <c r="U155" i="2"/>
  <c r="U117" i="2" s="1"/>
  <c r="Z19" i="2"/>
  <c r="Z28" i="2" s="1"/>
  <c r="Z115" i="2" s="1"/>
  <c r="Y114" i="3"/>
  <c r="N76" i="2"/>
  <c r="N81" i="2"/>
  <c r="N78" i="2"/>
  <c r="N80" i="2"/>
  <c r="N79" i="2"/>
  <c r="N77" i="2"/>
  <c r="O73" i="2"/>
  <c r="O94" i="2" s="1"/>
  <c r="O40" i="2"/>
  <c r="O68" i="2" s="1"/>
  <c r="O76" i="2" s="1"/>
  <c r="N124" i="2"/>
  <c r="O111" i="2"/>
  <c r="O114" i="2" s="1"/>
  <c r="O70" i="2"/>
  <c r="P45" i="2"/>
  <c r="O44" i="2"/>
  <c r="O45" i="2"/>
  <c r="L134" i="2"/>
  <c r="L125" i="2"/>
  <c r="L126" i="2" s="1"/>
  <c r="L128" i="2" s="1"/>
  <c r="L120" i="2"/>
  <c r="M124" i="2"/>
  <c r="M132" i="2" s="1"/>
  <c r="M116" i="2"/>
  <c r="M118" i="2" s="1"/>
  <c r="K125" i="2"/>
  <c r="K126" i="2" s="1"/>
  <c r="K128" i="2" s="1"/>
  <c r="K134" i="2"/>
  <c r="K120" i="2"/>
  <c r="Q34" i="2"/>
  <c r="Q72" i="2" s="1"/>
  <c r="Q33" i="2"/>
  <c r="Q35" i="2"/>
  <c r="Q36" i="2" s="1"/>
  <c r="R29" i="2"/>
  <c r="R31" i="2"/>
  <c r="Q50" i="2"/>
  <c r="P37" i="2"/>
  <c r="N51" i="2"/>
  <c r="N53" i="2" s="1"/>
  <c r="P87" i="2"/>
  <c r="P85" i="2"/>
  <c r="P95" i="2"/>
  <c r="P91" i="2"/>
  <c r="P97" i="2"/>
  <c r="P93" i="2"/>
  <c r="P89" i="2"/>
  <c r="AA27" i="2"/>
  <c r="V156" i="2" l="1"/>
  <c r="V157" i="2" s="1"/>
  <c r="V155" i="2"/>
  <c r="V117" i="2" s="1"/>
  <c r="N133" i="2"/>
  <c r="N132" i="2"/>
  <c r="AA19" i="2"/>
  <c r="AA28" i="2" s="1"/>
  <c r="AA115" i="2" s="1"/>
  <c r="Z114" i="3"/>
  <c r="O98" i="2"/>
  <c r="O92" i="2"/>
  <c r="O88" i="2"/>
  <c r="O46" i="2"/>
  <c r="O51" i="2" s="1"/>
  <c r="O53" i="2" s="1"/>
  <c r="O86" i="2"/>
  <c r="O90" i="2"/>
  <c r="O96" i="2"/>
  <c r="O78" i="2"/>
  <c r="O81" i="2"/>
  <c r="O77" i="2"/>
  <c r="O80" i="2"/>
  <c r="O82" i="2"/>
  <c r="O79" i="2"/>
  <c r="M133" i="2"/>
  <c r="P73" i="2"/>
  <c r="P111" i="2"/>
  <c r="Q45" i="2"/>
  <c r="P40" i="2"/>
  <c r="P68" i="2" s="1"/>
  <c r="P70" i="2"/>
  <c r="R34" i="2"/>
  <c r="R72" i="2" s="1"/>
  <c r="R33" i="2"/>
  <c r="R35" i="2"/>
  <c r="R36" i="2" s="1"/>
  <c r="S29" i="2"/>
  <c r="S31" i="2"/>
  <c r="R50" i="2"/>
  <c r="Q37" i="2"/>
  <c r="O116" i="2"/>
  <c r="O118" i="2" s="1"/>
  <c r="O124" i="2"/>
  <c r="O132" i="2" s="1"/>
  <c r="Q89" i="2"/>
  <c r="Q97" i="2"/>
  <c r="Q91" i="2"/>
  <c r="Q85" i="2"/>
  <c r="Q87" i="2"/>
  <c r="Q93" i="2"/>
  <c r="Q95" i="2"/>
  <c r="N119" i="2"/>
  <c r="M119" i="2"/>
  <c r="M120" i="2" s="1"/>
  <c r="AB27" i="2"/>
  <c r="W156" i="2" l="1"/>
  <c r="W157" i="2" s="1"/>
  <c r="W155" i="2"/>
  <c r="W117" i="2" s="1"/>
  <c r="AB19" i="2"/>
  <c r="AB28" i="2" s="1"/>
  <c r="AB115" i="2" s="1"/>
  <c r="AA114" i="3"/>
  <c r="P46" i="2"/>
  <c r="P51" i="2" s="1"/>
  <c r="P53" i="2" s="1"/>
  <c r="Q44" i="2"/>
  <c r="AC18" i="2"/>
  <c r="M125" i="2"/>
  <c r="M126" i="2" s="1"/>
  <c r="M128" i="2" s="1"/>
  <c r="M134" i="2"/>
  <c r="P114" i="2"/>
  <c r="N134" i="2"/>
  <c r="N125" i="2"/>
  <c r="N126" i="2" s="1"/>
  <c r="N128" i="2" s="1"/>
  <c r="N120" i="2"/>
  <c r="O133" i="2"/>
  <c r="S34" i="2"/>
  <c r="S72" i="2" s="1"/>
  <c r="S33" i="2"/>
  <c r="S35" i="2"/>
  <c r="S36" i="2" s="1"/>
  <c r="P98" i="2"/>
  <c r="P90" i="2"/>
  <c r="P96" i="2"/>
  <c r="P94" i="2"/>
  <c r="P92" i="2"/>
  <c r="P88" i="2"/>
  <c r="P86" i="2"/>
  <c r="T31" i="2"/>
  <c r="S50" i="2"/>
  <c r="T29" i="2"/>
  <c r="R37" i="2"/>
  <c r="P81" i="2"/>
  <c r="P78" i="2"/>
  <c r="P82" i="2"/>
  <c r="P79" i="2"/>
  <c r="P80" i="2"/>
  <c r="P77" i="2"/>
  <c r="P76" i="2"/>
  <c r="O119" i="2"/>
  <c r="R45" i="2"/>
  <c r="Q111" i="2"/>
  <c r="Q70" i="2"/>
  <c r="Q40" i="2"/>
  <c r="Q68" i="2" s="1"/>
  <c r="Q73" i="2"/>
  <c r="R91" i="2"/>
  <c r="R95" i="2"/>
  <c r="R93" i="2"/>
  <c r="R87" i="2"/>
  <c r="R85" i="2"/>
  <c r="R89" i="2"/>
  <c r="R97" i="2"/>
  <c r="AB114" i="3"/>
  <c r="X156" i="2" l="1"/>
  <c r="X157" i="2" s="1"/>
  <c r="X155" i="2"/>
  <c r="X117" i="2" s="1"/>
  <c r="Q46" i="2"/>
  <c r="Q51" i="2" s="1"/>
  <c r="Q53" i="2" s="1"/>
  <c r="R44" i="2"/>
  <c r="O125" i="2"/>
  <c r="O126" i="2" s="1"/>
  <c r="O128" i="2" s="1"/>
  <c r="O134" i="2"/>
  <c r="R73" i="2"/>
  <c r="R70" i="2"/>
  <c r="R111" i="2"/>
  <c r="S45" i="2"/>
  <c r="R40" i="2"/>
  <c r="R68" i="2" s="1"/>
  <c r="O120" i="2"/>
  <c r="T50" i="2"/>
  <c r="U29" i="2"/>
  <c r="U31" i="2"/>
  <c r="S37" i="2"/>
  <c r="P124" i="2"/>
  <c r="P116" i="2"/>
  <c r="P118" i="2" s="1"/>
  <c r="Q90" i="2"/>
  <c r="Q94" i="2"/>
  <c r="Q96" i="2"/>
  <c r="Q88" i="2"/>
  <c r="Q86" i="2"/>
  <c r="Q98" i="2"/>
  <c r="Q92" i="2"/>
  <c r="Q114" i="2"/>
  <c r="S95" i="2"/>
  <c r="S93" i="2"/>
  <c r="S87" i="2"/>
  <c r="S97" i="2"/>
  <c r="S85" i="2"/>
  <c r="S89" i="2"/>
  <c r="S91" i="2"/>
  <c r="Q78" i="2"/>
  <c r="Q82" i="2"/>
  <c r="Q80" i="2"/>
  <c r="Q76" i="2"/>
  <c r="Q81" i="2"/>
  <c r="Q79" i="2"/>
  <c r="Q77" i="2"/>
  <c r="T33" i="2"/>
  <c r="T35" i="2"/>
  <c r="T36" i="2" s="1"/>
  <c r="T34" i="2"/>
  <c r="T72" i="2" s="1"/>
  <c r="Y156" i="2" l="1"/>
  <c r="Y157" i="2" s="1"/>
  <c r="Y155" i="2"/>
  <c r="Y117" i="2" s="1"/>
  <c r="R46" i="2"/>
  <c r="R51" i="2" s="1"/>
  <c r="R53" i="2" s="1"/>
  <c r="P133" i="2"/>
  <c r="T87" i="2"/>
  <c r="T97" i="2"/>
  <c r="T93" i="2"/>
  <c r="T85" i="2"/>
  <c r="T89" i="2"/>
  <c r="T91" i="2"/>
  <c r="T95" i="2"/>
  <c r="S73" i="2"/>
  <c r="S70" i="2"/>
  <c r="S111" i="2"/>
  <c r="T45" i="2"/>
  <c r="S40" i="2"/>
  <c r="S68" i="2" s="1"/>
  <c r="R114" i="2"/>
  <c r="U33" i="2"/>
  <c r="U35" i="2"/>
  <c r="U36" i="2" s="1"/>
  <c r="U34" i="2"/>
  <c r="U72" i="2" s="1"/>
  <c r="S44" i="2"/>
  <c r="T37" i="2"/>
  <c r="Q116" i="2"/>
  <c r="Q118" i="2" s="1"/>
  <c r="Q119" i="2" s="1"/>
  <c r="Q124" i="2"/>
  <c r="P119" i="2"/>
  <c r="V31" i="2"/>
  <c r="U50" i="2"/>
  <c r="V29" i="2"/>
  <c r="R79" i="2"/>
  <c r="R82" i="2"/>
  <c r="R81" i="2"/>
  <c r="R76" i="2"/>
  <c r="R77" i="2"/>
  <c r="R80" i="2"/>
  <c r="R78" i="2"/>
  <c r="R98" i="2"/>
  <c r="R96" i="2"/>
  <c r="R86" i="2"/>
  <c r="R92" i="2"/>
  <c r="R90" i="2"/>
  <c r="R88" i="2"/>
  <c r="R94" i="2"/>
  <c r="Z156" i="2" l="1"/>
  <c r="Z157" i="2" s="1"/>
  <c r="Z155" i="2"/>
  <c r="Z117" i="2" s="1"/>
  <c r="S46" i="2"/>
  <c r="S51" i="2" s="1"/>
  <c r="S53" i="2" s="1"/>
  <c r="T44" i="2"/>
  <c r="W29" i="2"/>
  <c r="W31" i="2"/>
  <c r="V50" i="2"/>
  <c r="Q133" i="2"/>
  <c r="U95" i="2"/>
  <c r="U89" i="2"/>
  <c r="U87" i="2"/>
  <c r="U93" i="2"/>
  <c r="U97" i="2"/>
  <c r="U91" i="2"/>
  <c r="U85" i="2"/>
  <c r="R116" i="2"/>
  <c r="R118" i="2" s="1"/>
  <c r="R124" i="2"/>
  <c r="S114" i="2"/>
  <c r="Q125" i="2"/>
  <c r="Q126" i="2" s="1"/>
  <c r="Q128" i="2" s="1"/>
  <c r="Q134" i="2"/>
  <c r="Q120" i="2"/>
  <c r="V33" i="2"/>
  <c r="V35" i="2"/>
  <c r="V36" i="2" s="1"/>
  <c r="V34" i="2"/>
  <c r="V72" i="2" s="1"/>
  <c r="T111" i="2"/>
  <c r="T73" i="2"/>
  <c r="T40" i="2"/>
  <c r="T68" i="2" s="1"/>
  <c r="U44" i="2"/>
  <c r="T70" i="2"/>
  <c r="U37" i="2"/>
  <c r="S76" i="2"/>
  <c r="S80" i="2"/>
  <c r="S77" i="2"/>
  <c r="S79" i="2"/>
  <c r="S78" i="2"/>
  <c r="S81" i="2"/>
  <c r="S82" i="2"/>
  <c r="S96" i="2"/>
  <c r="S94" i="2"/>
  <c r="S88" i="2"/>
  <c r="S90" i="2"/>
  <c r="S98" i="2"/>
  <c r="S92" i="2"/>
  <c r="S86" i="2"/>
  <c r="P125" i="2"/>
  <c r="P126" i="2" s="1"/>
  <c r="P128" i="2" s="1"/>
  <c r="P134" i="2"/>
  <c r="P120" i="2"/>
  <c r="AA156" i="2" l="1"/>
  <c r="AA157" i="2" s="1"/>
  <c r="AA155" i="2"/>
  <c r="AA117" i="2" s="1"/>
  <c r="T46" i="2"/>
  <c r="T51" i="2" s="1"/>
  <c r="T53" i="2" s="1"/>
  <c r="V37" i="2"/>
  <c r="V111" i="2" s="1"/>
  <c r="V114" i="2" s="1"/>
  <c r="W50" i="2"/>
  <c r="X29" i="2"/>
  <c r="X31" i="2"/>
  <c r="U45" i="2"/>
  <c r="T86" i="2"/>
  <c r="T94" i="2"/>
  <c r="T96" i="2"/>
  <c r="T90" i="2"/>
  <c r="T92" i="2"/>
  <c r="T98" i="2"/>
  <c r="T88" i="2"/>
  <c r="R133" i="2"/>
  <c r="W34" i="2"/>
  <c r="W72" i="2" s="1"/>
  <c r="W33" i="2"/>
  <c r="W35" i="2"/>
  <c r="W36" i="2" s="1"/>
  <c r="T114" i="2"/>
  <c r="R119" i="2"/>
  <c r="V91" i="2"/>
  <c r="V85" i="2"/>
  <c r="V89" i="2"/>
  <c r="V95" i="2"/>
  <c r="V93" i="2"/>
  <c r="V97" i="2"/>
  <c r="V87" i="2"/>
  <c r="U73" i="2"/>
  <c r="U70" i="2"/>
  <c r="U111" i="2"/>
  <c r="V44" i="2"/>
  <c r="U40" i="2"/>
  <c r="U68" i="2" s="1"/>
  <c r="T76" i="2"/>
  <c r="T77" i="2"/>
  <c r="T79" i="2"/>
  <c r="T78" i="2"/>
  <c r="T80" i="2"/>
  <c r="T81" i="2"/>
  <c r="T82" i="2"/>
  <c r="S116" i="2"/>
  <c r="S118" i="2" s="1"/>
  <c r="S119" i="2" s="1"/>
  <c r="S124" i="2"/>
  <c r="AB156" i="2" l="1"/>
  <c r="AB157" i="2" s="1"/>
  <c r="AB155" i="2"/>
  <c r="AB117" i="2" s="1"/>
  <c r="U46" i="2"/>
  <c r="U51" i="2" s="1"/>
  <c r="U53" i="2" s="1"/>
  <c r="V40" i="2"/>
  <c r="V68" i="2" s="1"/>
  <c r="V80" i="2" s="1"/>
  <c r="V70" i="2"/>
  <c r="W45" i="2"/>
  <c r="V73" i="2"/>
  <c r="V92" i="2" s="1"/>
  <c r="X50" i="2"/>
  <c r="Y31" i="2"/>
  <c r="Y29" i="2"/>
  <c r="X34" i="2"/>
  <c r="X72" i="2" s="1"/>
  <c r="X35" i="2"/>
  <c r="X36" i="2" s="1"/>
  <c r="X33" i="2"/>
  <c r="S125" i="2"/>
  <c r="S126" i="2" s="1"/>
  <c r="S128" i="2" s="1"/>
  <c r="S134" i="2"/>
  <c r="U76" i="2"/>
  <c r="U81" i="2"/>
  <c r="U79" i="2"/>
  <c r="U80" i="2"/>
  <c r="U77" i="2"/>
  <c r="U78" i="2"/>
  <c r="U82" i="2"/>
  <c r="U88" i="2"/>
  <c r="U96" i="2"/>
  <c r="U92" i="2"/>
  <c r="U90" i="2"/>
  <c r="U98" i="2"/>
  <c r="U86" i="2"/>
  <c r="U94" i="2"/>
  <c r="W91" i="2"/>
  <c r="W85" i="2"/>
  <c r="W95" i="2"/>
  <c r="W97" i="2"/>
  <c r="W89" i="2"/>
  <c r="W93" i="2"/>
  <c r="W87" i="2"/>
  <c r="T116" i="2"/>
  <c r="T118" i="2" s="1"/>
  <c r="T124" i="2"/>
  <c r="S133" i="2"/>
  <c r="U114" i="2"/>
  <c r="R125" i="2"/>
  <c r="R126" i="2" s="1"/>
  <c r="R128" i="2" s="1"/>
  <c r="R134" i="2"/>
  <c r="S120" i="2"/>
  <c r="V45" i="2"/>
  <c r="R120" i="2"/>
  <c r="W37" i="2"/>
  <c r="V124" i="2"/>
  <c r="V133" i="2" s="1"/>
  <c r="V116" i="2"/>
  <c r="V118" i="2" s="1"/>
  <c r="V82" i="2" l="1"/>
  <c r="V46" i="2"/>
  <c r="V51" i="2" s="1"/>
  <c r="V53" i="2" s="1"/>
  <c r="V88" i="2"/>
  <c r="V79" i="2"/>
  <c r="V78" i="2"/>
  <c r="V81" i="2"/>
  <c r="V76" i="2"/>
  <c r="V96" i="2"/>
  <c r="V77" i="2"/>
  <c r="W44" i="2"/>
  <c r="V94" i="2"/>
  <c r="V86" i="2"/>
  <c r="V98" i="2"/>
  <c r="V90" i="2"/>
  <c r="X37" i="2"/>
  <c r="X87" i="2"/>
  <c r="X95" i="2"/>
  <c r="X93" i="2"/>
  <c r="X85" i="2"/>
  <c r="X91" i="2"/>
  <c r="X89" i="2"/>
  <c r="X97" i="2"/>
  <c r="Z29" i="2"/>
  <c r="Y50" i="2"/>
  <c r="Z31" i="2"/>
  <c r="Y33" i="2"/>
  <c r="Y35" i="2"/>
  <c r="Y36" i="2" s="1"/>
  <c r="Y34" i="2"/>
  <c r="Y72" i="2" s="1"/>
  <c r="T133" i="2"/>
  <c r="X45" i="2"/>
  <c r="W40" i="2"/>
  <c r="W68" i="2" s="1"/>
  <c r="W111" i="2"/>
  <c r="W73" i="2"/>
  <c r="W70" i="2"/>
  <c r="U116" i="2"/>
  <c r="U118" i="2" s="1"/>
  <c r="U124" i="2"/>
  <c r="T119" i="2"/>
  <c r="W46" i="2" l="1"/>
  <c r="W51" i="2" s="1"/>
  <c r="W53" i="2" s="1"/>
  <c r="X70" i="2"/>
  <c r="X73" i="2"/>
  <c r="X94" i="2" s="1"/>
  <c r="X40" i="2"/>
  <c r="X68" i="2" s="1"/>
  <c r="X80" i="2" s="1"/>
  <c r="X111" i="2"/>
  <c r="X114" i="2" s="1"/>
  <c r="X124" i="2" s="1"/>
  <c r="X133" i="2" s="1"/>
  <c r="Y44" i="2"/>
  <c r="Y45" i="2"/>
  <c r="Y93" i="2"/>
  <c r="Y89" i="2"/>
  <c r="Y87" i="2"/>
  <c r="Y95" i="2"/>
  <c r="Y85" i="2"/>
  <c r="Y97" i="2"/>
  <c r="Y91" i="2"/>
  <c r="Z33" i="2"/>
  <c r="Z34" i="2"/>
  <c r="Z72" i="2" s="1"/>
  <c r="Z35" i="2"/>
  <c r="Z36" i="2" s="1"/>
  <c r="Z50" i="2"/>
  <c r="AA29" i="2"/>
  <c r="AA31" i="2"/>
  <c r="Y37" i="2"/>
  <c r="T125" i="2"/>
  <c r="T126" i="2" s="1"/>
  <c r="T128" i="2" s="1"/>
  <c r="T134" i="2"/>
  <c r="U133" i="2"/>
  <c r="W86" i="2"/>
  <c r="W88" i="2"/>
  <c r="W98" i="2"/>
  <c r="W94" i="2"/>
  <c r="W92" i="2"/>
  <c r="W90" i="2"/>
  <c r="W96" i="2"/>
  <c r="U119" i="2"/>
  <c r="V119" i="2"/>
  <c r="W114" i="2"/>
  <c r="X44" i="2"/>
  <c r="W78" i="2"/>
  <c r="W79" i="2"/>
  <c r="W82" i="2"/>
  <c r="W77" i="2"/>
  <c r="W81" i="2"/>
  <c r="W76" i="2"/>
  <c r="W80" i="2"/>
  <c r="T120" i="2"/>
  <c r="X46" i="2" l="1"/>
  <c r="Y46" i="2" s="1"/>
  <c r="X79" i="2"/>
  <c r="X76" i="2"/>
  <c r="X81" i="2"/>
  <c r="X82" i="2"/>
  <c r="X78" i="2"/>
  <c r="X77" i="2"/>
  <c r="X86" i="2"/>
  <c r="X92" i="2"/>
  <c r="X96" i="2"/>
  <c r="X88" i="2"/>
  <c r="X116" i="2"/>
  <c r="X118" i="2" s="1"/>
  <c r="X98" i="2"/>
  <c r="X90" i="2"/>
  <c r="Y111" i="2"/>
  <c r="Y114" i="2" s="1"/>
  <c r="Y70" i="2"/>
  <c r="Y40" i="2"/>
  <c r="Y68" i="2" s="1"/>
  <c r="Z44" i="2"/>
  <c r="Y73" i="2"/>
  <c r="AA34" i="2"/>
  <c r="AA72" i="2" s="1"/>
  <c r="AA33" i="2"/>
  <c r="AA35" i="2"/>
  <c r="AA36" i="2" s="1"/>
  <c r="Z85" i="2"/>
  <c r="Z93" i="2"/>
  <c r="Z97" i="2"/>
  <c r="Z95" i="2"/>
  <c r="Z87" i="2"/>
  <c r="Z91" i="2"/>
  <c r="Z89" i="2"/>
  <c r="AA50" i="2"/>
  <c r="AB31" i="2"/>
  <c r="AB29" i="2"/>
  <c r="Z37" i="2"/>
  <c r="V134" i="2"/>
  <c r="V125" i="2"/>
  <c r="V126" i="2" s="1"/>
  <c r="V128" i="2" s="1"/>
  <c r="V120" i="2"/>
  <c r="U125" i="2"/>
  <c r="U126" i="2" s="1"/>
  <c r="U128" i="2" s="1"/>
  <c r="U134" i="2"/>
  <c r="W124" i="2"/>
  <c r="W116" i="2"/>
  <c r="W118" i="2" s="1"/>
  <c r="U120" i="2"/>
  <c r="X51" i="2" l="1"/>
  <c r="X53" i="2" s="1"/>
  <c r="AA37" i="2"/>
  <c r="AA40" i="2" s="1"/>
  <c r="AA68" i="2" s="1"/>
  <c r="AA44" i="2"/>
  <c r="Z73" i="2"/>
  <c r="Z111" i="2"/>
  <c r="Z114" i="2" s="1"/>
  <c r="Z40" i="2"/>
  <c r="Z68" i="2" s="1"/>
  <c r="Z70" i="2"/>
  <c r="AA93" i="2"/>
  <c r="AA89" i="2"/>
  <c r="AA85" i="2"/>
  <c r="AA97" i="2"/>
  <c r="AA91" i="2"/>
  <c r="AA95" i="2"/>
  <c r="AA87" i="2"/>
  <c r="AB50" i="2"/>
  <c r="AC29" i="2"/>
  <c r="Y51" i="2"/>
  <c r="Y53" i="2" s="1"/>
  <c r="Z45" i="2"/>
  <c r="Z46" i="2" s="1"/>
  <c r="Y82" i="2"/>
  <c r="Y80" i="2"/>
  <c r="Y77" i="2"/>
  <c r="Y76" i="2"/>
  <c r="Y81" i="2"/>
  <c r="Y78" i="2"/>
  <c r="Y79" i="2"/>
  <c r="AB33" i="2"/>
  <c r="AB34" i="2"/>
  <c r="AB72" i="2" s="1"/>
  <c r="AB35" i="2"/>
  <c r="AB36" i="2" s="1"/>
  <c r="Y90" i="2"/>
  <c r="Y86" i="2"/>
  <c r="Y88" i="2"/>
  <c r="Y92" i="2"/>
  <c r="Y96" i="2"/>
  <c r="Y98" i="2"/>
  <c r="Y94" i="2"/>
  <c r="Y124" i="2"/>
  <c r="Y133" i="2" s="1"/>
  <c r="Y116" i="2"/>
  <c r="Y118" i="2" s="1"/>
  <c r="Y119" i="2" s="1"/>
  <c r="X119" i="2"/>
  <c r="X120" i="2" s="1"/>
  <c r="W119" i="2"/>
  <c r="W133" i="2"/>
  <c r="AA73" i="2" l="1"/>
  <c r="AA88" i="2" s="1"/>
  <c r="AA70" i="2"/>
  <c r="AA45" i="2"/>
  <c r="AA46" i="2" s="1"/>
  <c r="AB45" i="2"/>
  <c r="AA111" i="2"/>
  <c r="AA114" i="2" s="1"/>
  <c r="AA116" i="2" s="1"/>
  <c r="AA118" i="2" s="1"/>
  <c r="AB37" i="2"/>
  <c r="AB73" i="2" s="1"/>
  <c r="Z51" i="2"/>
  <c r="Z53" i="2" s="1"/>
  <c r="Z96" i="2"/>
  <c r="Z92" i="2"/>
  <c r="Z86" i="2"/>
  <c r="Z98" i="2"/>
  <c r="Z94" i="2"/>
  <c r="Z88" i="2"/>
  <c r="Z90" i="2"/>
  <c r="Z77" i="2"/>
  <c r="Z81" i="2"/>
  <c r="Z76" i="2"/>
  <c r="Z79" i="2"/>
  <c r="Z82" i="2"/>
  <c r="Z80" i="2"/>
  <c r="Z78" i="2"/>
  <c r="Y120" i="2"/>
  <c r="AB87" i="2"/>
  <c r="AB93" i="2"/>
  <c r="AB97" i="2"/>
  <c r="AB91" i="2"/>
  <c r="AB89" i="2"/>
  <c r="AB85" i="2"/>
  <c r="AB95" i="2"/>
  <c r="Z116" i="2"/>
  <c r="Z118" i="2" s="1"/>
  <c r="Z119" i="2" s="1"/>
  <c r="Z134" i="2" s="1"/>
  <c r="Z124" i="2"/>
  <c r="Z133" i="2" s="1"/>
  <c r="AA78" i="2"/>
  <c r="AA76" i="2"/>
  <c r="AA81" i="2"/>
  <c r="AA79" i="2"/>
  <c r="AA80" i="2"/>
  <c r="AA77" i="2"/>
  <c r="AA82" i="2"/>
  <c r="W125" i="2"/>
  <c r="W126" i="2" s="1"/>
  <c r="W128" i="2" s="1"/>
  <c r="W134" i="2"/>
  <c r="X134" i="2"/>
  <c r="X125" i="2"/>
  <c r="X126" i="2" s="1"/>
  <c r="X128" i="2" s="1"/>
  <c r="Y134" i="2"/>
  <c r="Y125" i="2"/>
  <c r="Y126" i="2" s="1"/>
  <c r="Y128" i="2" s="1"/>
  <c r="W120" i="2"/>
  <c r="AA98" i="2" l="1"/>
  <c r="AA94" i="2"/>
  <c r="AA92" i="2"/>
  <c r="AA90" i="2"/>
  <c r="AA86" i="2"/>
  <c r="AA96" i="2"/>
  <c r="C153" i="3"/>
  <c r="AB44" i="2"/>
  <c r="AB46" i="2" s="1"/>
  <c r="AB51" i="2" s="1"/>
  <c r="AB53" i="2" s="1"/>
  <c r="AA124" i="2"/>
  <c r="AA133" i="2" s="1"/>
  <c r="AB111" i="2"/>
  <c r="AB114" i="2" s="1"/>
  <c r="AB124" i="2" s="1"/>
  <c r="AB133" i="2" s="1"/>
  <c r="AB40" i="2"/>
  <c r="AB68" i="2" s="1"/>
  <c r="AB78" i="2" s="1"/>
  <c r="AB70" i="2"/>
  <c r="AA119" i="2"/>
  <c r="AA125" i="2" s="1"/>
  <c r="Z125" i="2"/>
  <c r="Z126" i="2" s="1"/>
  <c r="Z128" i="2" s="1"/>
  <c r="AB86" i="2"/>
  <c r="AB96" i="2"/>
  <c r="AB92" i="2"/>
  <c r="AB90" i="2"/>
  <c r="AB88" i="2"/>
  <c r="AB98" i="2"/>
  <c r="AB94" i="2"/>
  <c r="Z120" i="2"/>
  <c r="AA51" i="2"/>
  <c r="AA53" i="2" s="1"/>
  <c r="AA126" i="2" l="1"/>
  <c r="AA128" i="2" s="1"/>
  <c r="AB116" i="2"/>
  <c r="AB118" i="2" s="1"/>
  <c r="AB119" i="2" s="1"/>
  <c r="AB125" i="2" s="1"/>
  <c r="AB126" i="2" s="1"/>
  <c r="AA134" i="2"/>
  <c r="AB76" i="2"/>
  <c r="AB81" i="2"/>
  <c r="AB77" i="2"/>
  <c r="AB82" i="2"/>
  <c r="AB79" i="2"/>
  <c r="AB80" i="2"/>
  <c r="AA120" i="2"/>
  <c r="AB134" i="2" l="1"/>
  <c r="AB120" i="2"/>
  <c r="B138" i="2"/>
  <c r="C59" i="3" s="1"/>
  <c r="C234" i="3" s="1"/>
  <c r="AB128" i="2"/>
  <c r="B140" i="2" s="1"/>
  <c r="C61" i="3" s="1"/>
  <c r="B139" i="2"/>
  <c r="C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C13" authorId="0" shapeId="0" xr:uid="{14672AF6-6DA1-4B73-9CB4-E3F42A48FCD3}">
      <text>
        <r>
          <rPr>
            <b/>
            <sz val="9"/>
            <color indexed="81"/>
            <rFont val="Tahoma"/>
            <family val="2"/>
          </rPr>
          <t xml:space="preserve">Note: </t>
        </r>
        <r>
          <rPr>
            <sz val="9"/>
            <color indexed="81"/>
            <rFont val="Tahoma"/>
            <family val="2"/>
          </rPr>
          <t>RESERVE MARGIN is (capacity minus demand)/demand, where "capacity" is the expected maximum available supply and "demand" is expected peak demand. For example, a reserve margin of 15% means that the mini grid system has excess capacity in the amount of 15% of expected peak demand.</t>
        </r>
      </text>
    </comment>
    <comment ref="A24" authorId="1" shapeId="0" xr:uid="{C80B75C0-C8DA-4D44-AB07-869BDBF1428B}">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1" authorId="1" shapeId="0" xr:uid="{CFFE1BDA-EA13-432C-A5B9-61D2FB465305}">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4" authorId="1" shapeId="0" xr:uid="{9BD012A6-E7C4-42B3-AF07-11E6621579B5}">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5" authorId="1" shapeId="0" xr:uid="{50D0E671-908D-4C0A-852F-ED4BBADE0FA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6" authorId="1" shapeId="0" xr:uid="{B4F38034-1216-4019-9FF7-E5E39A825244}">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7" authorId="1" shapeId="0" xr:uid="{83E1BA85-8BF2-4683-8D31-567337567DBB}">
      <text>
        <r>
          <rPr>
            <b/>
            <sz val="9"/>
            <color indexed="81"/>
            <rFont val="Tahoma"/>
            <family val="2"/>
          </rPr>
          <t>Note:</t>
        </r>
        <r>
          <rPr>
            <sz val="9"/>
            <color indexed="81"/>
            <rFont val="Tahoma"/>
            <family val="2"/>
          </rPr>
          <t xml:space="preserve">
assembly and installation</t>
        </r>
      </text>
    </comment>
    <comment ref="A38" authorId="1" shapeId="0" xr:uid="{2A3A825E-5F47-4185-A67A-AB2572D3EEB5}">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
5) poles</t>
        </r>
      </text>
    </comment>
    <comment ref="A40" authorId="1" shapeId="0" xr:uid="{14F76822-FAE9-4016-B887-75B62087B64C}">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1" shapeId="0" xr:uid="{7135D944-355E-4816-A8EB-29A26A14E56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1" shapeId="0" xr:uid="{BAB87142-3747-4805-AE84-EB4092C54855}">
      <text>
        <r>
          <rPr>
            <b/>
            <sz val="9"/>
            <color indexed="81"/>
            <rFont val="Tahoma"/>
            <family val="2"/>
          </rPr>
          <t>Note:</t>
        </r>
        <r>
          <rPr>
            <sz val="9"/>
            <color indexed="81"/>
            <rFont val="Tahoma"/>
            <family val="2"/>
          </rPr>
          <t xml:space="preserve">
Rotor, Nacelle, Tower</t>
        </r>
      </text>
    </comment>
    <comment ref="A50" authorId="1" shapeId="0" xr:uid="{1D27284E-98FB-4C4F-BAF3-38D66BD95F3B}">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1" shapeId="0" xr:uid="{1E0A8A1C-7164-48DC-A3C8-A556855B666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1" shapeId="0" xr:uid="{71EC774C-A868-4A2B-A7E3-610E7816B84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1" shapeId="0" xr:uid="{F19C41B1-E5B7-4AF2-B8F3-C7E4B7FA1E3C}">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6" authorId="1" shapeId="0" xr:uid="{8A700E49-C981-491B-8C5E-65CA1327D974}">
      <text>
        <r>
          <rPr>
            <b/>
            <sz val="9"/>
            <color indexed="81"/>
            <rFont val="Tahoma"/>
            <family val="2"/>
          </rPr>
          <t>Note:</t>
        </r>
        <r>
          <rPr>
            <sz val="9"/>
            <color indexed="81"/>
            <rFont val="Tahoma"/>
            <family val="2"/>
          </rPr>
          <t xml:space="preserve">
assembly and installation</t>
        </r>
      </text>
    </comment>
    <comment ref="A57" authorId="1" shapeId="0" xr:uid="{C7E10363-786F-42EC-9123-4ACC2A4A343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9" authorId="1" shapeId="0" xr:uid="{29F30E53-E1B4-46EF-83C6-AAC1871E9FCD}">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1" shapeId="0" xr:uid="{6DBBFAD0-CA13-4475-B259-34D5BF349A2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1" shapeId="0" xr:uid="{344907B0-BC17-4F24-9BE2-4B4150236597}">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1" shapeId="0" xr:uid="{772274FB-DCA0-453B-8925-6008221F874F}">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1" shapeId="0" xr:uid="{FD2DBA55-0010-4DB6-B9CA-35D86E69503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1" shapeId="0" xr:uid="{0A41322C-13DC-42A1-905F-ED58A70D6AF3}">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4" authorId="1" shapeId="0" xr:uid="{E822697B-5647-4789-A7A9-FCE1E65D796A}">
      <text>
        <r>
          <rPr>
            <b/>
            <sz val="9"/>
            <color indexed="81"/>
            <rFont val="Tahoma"/>
            <family val="2"/>
          </rPr>
          <t>Note:</t>
        </r>
        <r>
          <rPr>
            <sz val="9"/>
            <color indexed="81"/>
            <rFont val="Tahoma"/>
            <family val="2"/>
          </rPr>
          <t xml:space="preserve">
assembly and installation</t>
        </r>
      </text>
    </comment>
    <comment ref="A75" authorId="1" shapeId="0" xr:uid="{D3C11B9F-2223-483D-A219-A97CDF67F9A4}">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7" authorId="1" shapeId="0" xr:uid="{B67080E3-4F57-40BD-916D-CA7A1415EB46}">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81" authorId="1" shapeId="0" xr:uid="{FC25E8D0-62DA-424D-B817-4D38CC9CCE0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86" authorId="0" shapeId="0" xr:uid="{6FEAB03D-DC4F-4E30-9E9C-5ADD3DA6F2C4}">
      <text>
        <r>
          <rPr>
            <b/>
            <sz val="9"/>
            <color indexed="81"/>
            <rFont val="Tahoma"/>
            <family val="2"/>
          </rPr>
          <t>Note:</t>
        </r>
        <r>
          <rPr>
            <sz val="9"/>
            <color indexed="81"/>
            <rFont val="Tahoma"/>
            <family val="2"/>
          </rPr>
          <t xml:space="preserve">
1) pumps
2) fans
3: exhaust/emissions controls
4) systems controls
5) cranes, stackers, reclaimers, front-end loaders, belts, augers, and pneumatic transport</t>
        </r>
      </text>
    </comment>
    <comment ref="A89" authorId="1" shapeId="0" xr:uid="{680B7C97-8453-436D-9A8D-F97D9CECA119}">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90" authorId="1" shapeId="0" xr:uid="{3CFA196F-959C-4B12-AB73-36E4CAAA08C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1" authorId="1" shapeId="0" xr:uid="{52A056AF-4E70-4963-9E91-5BF637E203C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2" authorId="1" shapeId="0" xr:uid="{E17F64C3-4343-45EF-B919-5C9EB3C855B4}">
      <text>
        <r>
          <rPr>
            <b/>
            <sz val="9"/>
            <color indexed="81"/>
            <rFont val="Tahoma"/>
            <family val="2"/>
          </rPr>
          <t>Note:</t>
        </r>
        <r>
          <rPr>
            <sz val="9"/>
            <color indexed="81"/>
            <rFont val="Tahoma"/>
            <family val="2"/>
          </rPr>
          <t xml:space="preserve">
assembly and installation</t>
        </r>
      </text>
    </comment>
    <comment ref="A93" authorId="1" shapeId="0" xr:uid="{927D9D15-2A96-4748-B1F6-D1BDD92DC48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95" authorId="1" shapeId="0" xr:uid="{949B7164-2320-4E45-A407-0D09E7A0911B}">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9" authorId="1" shapeId="0" xr:uid="{02D2A6F8-1597-43A7-95DF-BDB63BFE5BB3}">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7" authorId="1" shapeId="0" xr:uid="{C8795B8C-30DB-47C4-89CD-B0FCCFBF893A}">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8" authorId="1" shapeId="0" xr:uid="{657930BF-5ABD-4954-98B3-2F24FAF18A7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1" shapeId="0" xr:uid="{8B6D4751-3608-4138-9E1C-ABF345245F7E}">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10" authorId="1" shapeId="0" xr:uid="{6A39A7E4-169A-4780-B7EB-A6211AF22C8A}">
      <text>
        <r>
          <rPr>
            <b/>
            <sz val="9"/>
            <color indexed="81"/>
            <rFont val="Tahoma"/>
            <family val="2"/>
          </rPr>
          <t>Note:</t>
        </r>
        <r>
          <rPr>
            <sz val="9"/>
            <color indexed="81"/>
            <rFont val="Tahoma"/>
            <family val="2"/>
          </rPr>
          <t xml:space="preserve">
assembly and installation</t>
        </r>
      </text>
    </comment>
    <comment ref="A111" authorId="1" shapeId="0" xr:uid="{C22AFCCE-1A3B-42FE-B0DD-95E078CE7C39}">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3" authorId="1" shapeId="0" xr:uid="{E2F97641-921E-4E62-9107-C13A0F53E8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31" authorId="1" shapeId="0" xr:uid="{AA30BE4E-4D05-4B4E-862E-DE9DEAACF5A2}">
      <text>
        <r>
          <rPr>
            <b/>
            <sz val="9"/>
            <color indexed="81"/>
            <rFont val="Tahoma"/>
            <family val="2"/>
          </rPr>
          <t xml:space="preserve">Note:
</t>
        </r>
        <r>
          <rPr>
            <sz val="9"/>
            <color indexed="81"/>
            <rFont val="Tahoma"/>
            <family val="2"/>
          </rPr>
          <t xml:space="preserve">The money needed to finance the time gap between payments to suppliers and receipt of payments from customers:
In this model we use the following which we have modified from the Zambia WC formula:
WC = 1/12(Operating and Maintenance Cost Allowance+Power Purchase Cost allowance) </t>
        </r>
      </text>
    </comment>
    <comment ref="A136" authorId="1" shapeId="0" xr:uid="{E23DE6AC-D848-4B83-92CD-1E70E33309D4}">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38" authorId="1" shapeId="0" xr:uid="{29E161E5-66DC-454B-BB8F-2329F1C01F91}">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39" authorId="1" shapeId="0" xr:uid="{350F7315-5048-4EBF-B97B-CA34E0725787}">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40" authorId="1" shapeId="0" xr:uid="{6DC6F858-E5A4-4AA1-B072-C59E33DFC42F}">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 ref="H194" authorId="0" shapeId="0" xr:uid="{FE9388BE-BC5B-4F6F-B421-5FF529A81CEA}">
      <text>
        <r>
          <rPr>
            <b/>
            <sz val="9"/>
            <color indexed="81"/>
            <rFont val="Tahoma"/>
            <family val="2"/>
          </rPr>
          <t>Note:</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C197" authorId="0" shapeId="0" xr:uid="{97EF0F84-8E51-4A7E-9521-A62BC48E573C}">
      <text>
        <r>
          <rPr>
            <b/>
            <sz val="9"/>
            <color indexed="81"/>
            <rFont val="Tahoma"/>
            <family val="2"/>
          </rPr>
          <t>Note:</t>
        </r>
        <r>
          <rPr>
            <sz val="9"/>
            <color indexed="81"/>
            <rFont val="Tahoma"/>
            <family val="2"/>
          </rPr>
          <t xml:space="preserve">
ACPC = Average Consumption Per Customer Per Month</t>
        </r>
      </text>
    </comment>
    <comment ref="A235" authorId="1" shapeId="0" xr:uid="{76AF528D-D99B-41BD-BA41-8E39489C29BA}">
      <text>
        <r>
          <rPr>
            <b/>
            <sz val="9"/>
            <color indexed="81"/>
            <rFont val="Tahoma"/>
            <family val="2"/>
          </rPr>
          <t>Note:</t>
        </r>
        <r>
          <rPr>
            <sz val="9"/>
            <color indexed="81"/>
            <rFont val="Tahoma"/>
            <family val="2"/>
          </rPr>
          <t xml:space="preserve">
If a strategic, long term view on rural electrification was taken, the enormous cost savings minigrids offer per connection could be reallocated to subsidize the consumer price of power for up to a decade at almost any kWh price and still save donors, African governments, and their taxpaying citizens hundreds of millions of dollars compared to grid extension costs</t>
        </r>
      </text>
    </comment>
    <comment ref="C235" authorId="0" shapeId="0" xr:uid="{C1EDD9D4-60CD-41B7-9FC5-96225474CF61}">
      <text>
        <r>
          <rPr>
            <sz val="9"/>
            <color indexed="81"/>
            <rFont val="Tahoma"/>
            <family val="2"/>
          </rPr>
          <t xml:space="preserve">Note:
This is the Connection Subsidy that was in place in Nigeria before it was increased
</t>
        </r>
      </text>
    </comment>
    <comment ref="D235" authorId="0" shapeId="0" xr:uid="{C3212A88-7BB8-452F-BD79-98C940DEF506}">
      <text>
        <r>
          <rPr>
            <b/>
            <sz val="9"/>
            <color indexed="81"/>
            <rFont val="Tahoma"/>
            <family val="2"/>
          </rPr>
          <t>Note:
This is the new connection subsidy to be given in Nigeria</t>
        </r>
      </text>
    </comment>
    <comment ref="E235" authorId="0" shapeId="0" xr:uid="{0C21C6C9-CD03-42BE-9B42-C9A0047DDC4A}">
      <text>
        <r>
          <rPr>
            <b/>
            <sz val="9"/>
            <color indexed="81"/>
            <rFont val="Tahoma"/>
            <family val="2"/>
          </rPr>
          <t>Note:</t>
        </r>
        <r>
          <rPr>
            <sz val="9"/>
            <color indexed="81"/>
            <rFont val="Tahoma"/>
            <family val="2"/>
          </rPr>
          <t xml:space="preserve">
Average cost per connection as per referenced AMDA study</t>
        </r>
      </text>
    </comment>
    <comment ref="C237" authorId="1" shapeId="0" xr:uid="{488B276F-D1F7-498D-BB31-FF3C18128580}">
      <text>
        <r>
          <rPr>
            <b/>
            <sz val="9"/>
            <color indexed="81"/>
            <rFont val="Tahoma"/>
            <family val="2"/>
          </rPr>
          <t>Note:</t>
        </r>
        <r>
          <rPr>
            <sz val="9"/>
            <color indexed="81"/>
            <rFont val="Tahoma"/>
            <family val="2"/>
          </rPr>
          <t xml:space="preserve">
Cost of grid extension
per household (USD) 
in Kenya(2014) $1047,
 Rwanda (2011)=$840, Mozambique(2017)=$690</t>
        </r>
      </text>
    </comment>
    <comment ref="A243" authorId="1" shapeId="0" xr:uid="{C17CA7BD-583F-409F-8605-5ABF3A4B19A3}">
      <text>
        <r>
          <rPr>
            <b/>
            <sz val="9"/>
            <color indexed="81"/>
            <rFont val="Tahoma"/>
            <family val="2"/>
          </rPr>
          <t>Note:</t>
        </r>
        <r>
          <rPr>
            <sz val="9"/>
            <color indexed="81"/>
            <rFont val="Tahoma"/>
            <family val="2"/>
          </rPr>
          <t xml:space="preserve">
There is a positive correlation between utilization rates and ARPUs. Higher daytime utilization of the solar mini-grid benefits the mini-grid operator as providing power directly from PV panels represents zero marginal costs.</t>
        </r>
      </text>
    </comment>
    <comment ref="G252" authorId="1" shapeId="0" xr:uid="{CCA30CA6-56FD-4BB1-A621-D6E2FBB4FA39}">
      <text>
        <r>
          <rPr>
            <b/>
            <sz val="9"/>
            <color indexed="81"/>
            <rFont val="Tahoma"/>
            <family val="2"/>
          </rPr>
          <t>Note:</t>
        </r>
        <r>
          <rPr>
            <sz val="9"/>
            <color indexed="81"/>
            <rFont val="Tahoma"/>
            <family val="2"/>
          </rPr>
          <t xml:space="preserve">
STATE OF THE GLOBAL MINI-GRIDS MARKET REPORT 2020</t>
        </r>
      </text>
    </comment>
    <comment ref="G253" authorId="1" shapeId="0" xr:uid="{15BB18CC-A234-407D-87EA-81A508BEC226}">
      <text>
        <r>
          <rPr>
            <b/>
            <sz val="9"/>
            <color indexed="81"/>
            <rFont val="Tahoma"/>
            <family val="2"/>
          </rPr>
          <t>Note:</t>
        </r>
        <r>
          <rPr>
            <sz val="9"/>
            <color indexed="81"/>
            <rFont val="Tahoma"/>
            <family val="2"/>
          </rPr>
          <t xml:space="preserve">
STATE OF THE GLOBAL MINI-GRIDS MARKET REPORT 2020</t>
        </r>
      </text>
    </comment>
    <comment ref="E257" authorId="1" shapeId="0" xr:uid="{8FE74ACA-EB10-44B2-9FC7-738D7965CA1B}">
      <text>
        <r>
          <rPr>
            <b/>
            <sz val="9"/>
            <color indexed="81"/>
            <rFont val="Tahoma"/>
            <family val="2"/>
          </rPr>
          <t>Note:</t>
        </r>
        <r>
          <rPr>
            <sz val="9"/>
            <color indexed="81"/>
            <rFont val="Tahoma"/>
            <family val="2"/>
          </rPr>
          <t xml:space="preserve">
In contrast, national utility service rates in rural areas, electrification rates remain very low, averaging 5% for rural households and 22% for rural businesses (University of California, Berkeley study)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A18" authorId="0" shapeId="0" xr:uid="{DC9EBDEE-5522-4132-9A6A-70998CC80BE4}">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A43" authorId="1" shapeId="0" xr:uid="{ABB95FA6-CB2A-42D1-88A9-8046EC6838E3}">
      <text>
        <r>
          <rPr>
            <b/>
            <sz val="9"/>
            <color indexed="81"/>
            <rFont val="Tahoma"/>
            <family val="2"/>
          </rPr>
          <t>Note:</t>
        </r>
        <r>
          <rPr>
            <sz val="9"/>
            <color indexed="81"/>
            <rFont val="Tahoma"/>
            <family val="2"/>
          </rPr>
          <t xml:space="preserve">
A regulatory deferral account balance is an amount of expense or income that would not be recognised as an asset or liability, but that qualifies to be deferred in accordance with IFRS 14, because the amount is included, or is expected to be included, by a rate regulator in establishing the tariffs/prices that an entity can charge to customers for rate-regulated goods or services.</t>
        </r>
      </text>
    </comment>
    <comment ref="AB50" authorId="0" shapeId="0" xr:uid="{99EAC190-857C-4C50-B966-7090CFDFCC97}">
      <text>
        <r>
          <rPr>
            <b/>
            <sz val="9"/>
            <color indexed="81"/>
            <rFont val="Tahoma"/>
            <family val="2"/>
          </rPr>
          <t>Note:</t>
        </r>
        <r>
          <rPr>
            <sz val="9"/>
            <color indexed="81"/>
            <rFont val="Tahoma"/>
            <family val="2"/>
          </rPr>
          <t xml:space="preserve">
This balance is the cost of land and residual value. Land is not a depreciable asset.</t>
        </r>
      </text>
    </comment>
    <comment ref="C112" authorId="1" shapeId="0" xr:uid="{D8644F00-37B4-4F72-9964-3071D80C2EEE}">
      <text>
        <r>
          <rPr>
            <b/>
            <sz val="9"/>
            <color indexed="81"/>
            <rFont val="Tahoma"/>
            <family val="2"/>
          </rPr>
          <t>Note:</t>
        </r>
        <r>
          <rPr>
            <sz val="9"/>
            <color indexed="81"/>
            <rFont val="Tahoma"/>
            <family val="2"/>
          </rPr>
          <t xml:space="preserve">
IAS/IFRS requires as follows:
1) A grant is recognised only when there is reasonable assurance that (a) the entity will comply with any conditions attached to the grant and (b) the grant will be received. [IAS 20.7];
2) The grant is recognised as income over the period necessary to match them with the related costs, for which they are intended to compensate, on a systematic basis. [IAS 20.12];
3) A grant receivable as compensation for costs already incurred or for immediate financial support, with no future related costs, should be recognised as income in the period in which it is receivable. [IAS 20.20]
4) A grant relating to income may be reported separately as 'other income' or deducted from the related expense. [IAS 20.29]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Robert Opini</author>
  </authors>
  <commentList>
    <comment ref="A53" authorId="0" shapeId="0" xr:uid="{C59720D2-D035-414A-AFF9-8EC48057BF3B}">
      <text>
        <r>
          <rPr>
            <b/>
            <sz val="9"/>
            <color indexed="81"/>
            <rFont val="Tahoma"/>
            <family val="2"/>
          </rPr>
          <t>Note:</t>
        </r>
        <r>
          <rPr>
            <sz val="9"/>
            <color indexed="81"/>
            <rFont val="Tahoma"/>
            <family val="2"/>
          </rPr>
          <t xml:space="preserve">
A debt service coverage ratio of 1 or above indicates that a company is generating sufficient operating income to cover its annual debt and interest payments. As a general rule of thumb, an ideal ratio is 2 or higher. A ratio that high suggests that the company is capable of taking on more debt.</t>
        </r>
      </text>
    </comment>
    <comment ref="A55" authorId="0" shapeId="0" xr:uid="{B03DC2A8-E4B5-4FF9-8DFC-EBE68E2B06F0}">
      <text>
        <r>
          <rPr>
            <b/>
            <sz val="9"/>
            <color indexed="81"/>
            <rFont val="Tahoma"/>
            <family val="2"/>
          </rPr>
          <t>Note:</t>
        </r>
        <r>
          <rPr>
            <sz val="9"/>
            <color indexed="81"/>
            <rFont val="Tahoma"/>
            <family val="2"/>
          </rPr>
          <t xml:space="preserve">
As a rule of thumb, an ICR above 2 would be barely acceptable for companies with consistent revenues and cash flows. In some cases, analysts would like to see an ICR above 3. An ICR lower than 1 implies poor financial health, as it shows that the company cannot pay off its short-term interest obligations.</t>
        </r>
      </text>
    </comment>
    <comment ref="A56" authorId="0" shapeId="0" xr:uid="{8FB4C4F6-70C0-4DFE-B690-A34727C956F4}">
      <text>
        <r>
          <rPr>
            <b/>
            <sz val="9"/>
            <color indexed="81"/>
            <rFont val="Tahoma"/>
            <family val="2"/>
          </rPr>
          <t>Note:</t>
        </r>
        <r>
          <rPr>
            <sz val="9"/>
            <color indexed="81"/>
            <rFont val="Tahoma"/>
            <family val="2"/>
          </rPr>
          <t xml:space="preserve">
After calculating CFADS, it can be graphed against interest and principal repayments to determine if there is sufficient cash flow available to pay this debt obligation.</t>
        </r>
      </text>
    </comment>
    <comment ref="A114" authorId="0" shapeId="0" xr:uid="{093E6F62-9D03-43C0-910C-41DFD3F0F752}">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J223" authorId="0" shapeId="0" xr:uid="{D4C9EE07-3E08-489E-B555-6EFE948FE870}">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4" authorId="0" shapeId="0" xr:uid="{66610AFD-401F-474F-B3E9-BE9FAE5DA93C}">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5" authorId="0" shapeId="0" xr:uid="{0F37031F-FE12-4FB3-9A78-74F2450930F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6" authorId="0" shapeId="0" xr:uid="{25C33CE0-6926-4CAB-B223-66B87E27C491}">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7" authorId="0" shapeId="0" xr:uid="{663A1A65-F47A-4D02-8064-97C5B59197D5}">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8" authorId="0" shapeId="0" xr:uid="{E9881506-EBCA-462F-BDDD-9CB73FD8DB8E}">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9" authorId="0" shapeId="0" xr:uid="{8AD4575E-966C-4F5F-ABE1-63B97AB0C129}">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30" authorId="0" shapeId="0" xr:uid="{657806A8-70CD-4D0D-AB59-89C7AD3D9D1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A23" authorId="0" shapeId="0" xr:uid="{4C1B2D12-D63C-4C74-810D-88F12C87072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0" authorId="0" shapeId="0" xr:uid="{893154CA-D3E1-4AA5-A958-F41C099255D8}">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3" authorId="0" shapeId="0" xr:uid="{AB094052-B3CB-4330-ADD8-506A4D306F10}">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4" authorId="0" shapeId="0" xr:uid="{51E41F32-34B1-44E8-88CF-1FDF1DA8984F}">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5" authorId="0" shapeId="0" xr:uid="{A5D53A64-6DAA-43D3-8B27-9972DAC54209}">
      <text>
        <r>
          <rPr>
            <b/>
            <sz val="9"/>
            <color indexed="81"/>
            <rFont val="Tahoma"/>
            <family val="2"/>
          </rPr>
          <t>Note:</t>
        </r>
        <r>
          <rPr>
            <sz val="9"/>
            <color indexed="81"/>
            <rFont val="Tahoma"/>
            <family val="2"/>
          </rPr>
          <t xml:space="preserve">
assembly and installation</t>
        </r>
      </text>
    </comment>
    <comment ref="A36" authorId="0" shapeId="0" xr:uid="{861F47DA-3013-4D2D-9F53-82D14D596F36}">
      <text>
        <r>
          <rPr>
            <b/>
            <sz val="9"/>
            <color indexed="81"/>
            <rFont val="Tahoma"/>
            <family val="2"/>
          </rPr>
          <t>Note:</t>
        </r>
        <r>
          <rPr>
            <sz val="9"/>
            <color indexed="81"/>
            <rFont val="Tahoma"/>
            <family val="2"/>
          </rPr>
          <t xml:space="preserve">
includes 
1) the cost and installation of assets and equipment related to delivering
electricity to the end-user
2)wiring
3) poles insulators
4) safety equipment</t>
        </r>
      </text>
    </comment>
    <comment ref="A38" authorId="0" shapeId="0" xr:uid="{9034C456-27F1-4066-AD68-B8137CE3A907}">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0" shapeId="0" xr:uid="{587113C0-615C-4307-9AE2-5D1562211169}">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0" shapeId="0" xr:uid="{77B5DCA7-89F9-4AD1-995E-2F2C077DF304}">
      <text>
        <r>
          <rPr>
            <b/>
            <sz val="9"/>
            <color indexed="81"/>
            <rFont val="Tahoma"/>
            <family val="2"/>
          </rPr>
          <t>Note:</t>
        </r>
        <r>
          <rPr>
            <sz val="9"/>
            <color indexed="81"/>
            <rFont val="Tahoma"/>
            <family val="2"/>
          </rPr>
          <t xml:space="preserve">
Rotor, Nacelle, Tower</t>
        </r>
      </text>
    </comment>
    <comment ref="A50" authorId="0" shapeId="0" xr:uid="{D537B0A5-DE13-4C57-9307-4D80C55E6EAC}">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0" shapeId="0" xr:uid="{C349BF28-A344-46F3-AE1A-8C27F8C7D633}">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0" shapeId="0" xr:uid="{23189CCF-FEB4-41EB-A300-F97DD0F51F9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0" shapeId="0" xr:uid="{52806D1D-8B52-4643-8C72-CB937DBEA252}">
      <text>
        <r>
          <rPr>
            <b/>
            <sz val="9"/>
            <color indexed="81"/>
            <rFont val="Tahoma"/>
            <family val="2"/>
          </rPr>
          <t>Note:</t>
        </r>
        <r>
          <rPr>
            <sz val="9"/>
            <color indexed="81"/>
            <rFont val="Tahoma"/>
            <family val="2"/>
          </rPr>
          <t xml:space="preserve">
assembly and installation</t>
        </r>
      </text>
    </comment>
    <comment ref="A56" authorId="0" shapeId="0" xr:uid="{8A94D43D-0A9C-4772-BE42-03ECE61BF52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8" authorId="0" shapeId="0" xr:uid="{A2294D83-B6E2-411B-A88F-0ADB75CA57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0" shapeId="0" xr:uid="{1C420516-A49D-403C-82B9-55E7CB5480F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0" shapeId="0" xr:uid="{9AB58DB4-4833-4927-A47D-812DDEC31481}">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0" shapeId="0" xr:uid="{A90D07BD-ECC9-4D32-BAA5-8754EC954F2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0" shapeId="0" xr:uid="{227F5232-151D-41A5-B336-CAC3BD71ED16}">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0" shapeId="0" xr:uid="{75789F45-E695-40CB-A4B3-1FEA6F55BD5B}">
      <text>
        <r>
          <rPr>
            <b/>
            <sz val="9"/>
            <color indexed="81"/>
            <rFont val="Tahoma"/>
            <family val="2"/>
          </rPr>
          <t>Note:</t>
        </r>
        <r>
          <rPr>
            <sz val="9"/>
            <color indexed="81"/>
            <rFont val="Tahoma"/>
            <family val="2"/>
          </rPr>
          <t xml:space="preserve">
assembly and installation</t>
        </r>
      </text>
    </comment>
    <comment ref="A74" authorId="0" shapeId="0" xr:uid="{E5C5D2DC-CCDD-4AE2-A30E-B9C1E1E472FE}">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6" authorId="0" shapeId="0" xr:uid="{1B97F3BC-0D2F-42F5-9B04-D957695D9D50}">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8" authorId="0" shapeId="0" xr:uid="{6ABD560A-46CC-4837-BC6C-10E18FB3E04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6" authorId="0" shapeId="0" xr:uid="{B15E7D9F-FB1D-42E4-8C3D-F981A89103C8}">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7" authorId="0" shapeId="0" xr:uid="{6F54CAFC-CAAC-41D8-97DE-3C1C65005009}">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8" authorId="0" shapeId="0" xr:uid="{FFC9904B-4D94-419C-A9BB-4395FF748627}">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0" shapeId="0" xr:uid="{BD4CE96C-6475-45FC-9DCB-DF87E6A1CE94}">
      <text>
        <r>
          <rPr>
            <b/>
            <sz val="9"/>
            <color indexed="81"/>
            <rFont val="Tahoma"/>
            <family val="2"/>
          </rPr>
          <t>Note:</t>
        </r>
        <r>
          <rPr>
            <sz val="9"/>
            <color indexed="81"/>
            <rFont val="Tahoma"/>
            <family val="2"/>
          </rPr>
          <t xml:space="preserve">
assembly and installation</t>
        </r>
      </text>
    </comment>
    <comment ref="A110" authorId="0" shapeId="0" xr:uid="{0192B4C5-754B-47AD-B573-7015DF06210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2" authorId="0" shapeId="0" xr:uid="{275ADE68-7636-41B4-B37F-3ACC6DC4FEE1}">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22" authorId="0" shapeId="0" xr:uid="{813EC08F-3105-4872-8C67-F5B6B5EE65A5}">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24" authorId="0" shapeId="0" xr:uid="{5A9C7C28-4921-47CE-8DF6-96406730CC8D}">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25" authorId="0" shapeId="0" xr:uid="{7C203FD7-6BB2-4B2E-B3EA-34C36781109F}">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26" authorId="0" shapeId="0" xr:uid="{AAF6E7EC-C056-4425-AB4A-F43B4880418D}">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tc={C2ED4AD8-1B6C-4AEB-A4E8-FA21A7046425}</author>
    <author>tc={D5202240-BA25-4FB8-889B-AF141891D4DB}</author>
    <author>tc={F2622B89-68CC-48FE-ACB0-672BB36CCF64}</author>
  </authors>
  <commentList>
    <comment ref="B27" authorId="0" shapeId="0" xr:uid="{C2ED4AD8-1B6C-4AEB-A4E8-FA21A7046425}">
      <text>
        <t>[Threaded comment]
Your version of Excel allows you to read this threaded comment; however, any edits to it will get removed if the file is opened in a newer version of Excel. Learn more: https://go.microsoft.com/fwlink/?linkid=870924
Comment:
    corresponding to the annual generation capacity from RE sources, minus losses</t>
      </text>
    </comment>
    <comment ref="B50" authorId="1" shapeId="0" xr:uid="{D5202240-BA25-4FB8-889B-AF141891D4DB}">
      <text>
        <t>[Threaded comment]
Your version of Excel allows you to read this threaded comment; however, any edits to it will get removed if the file is opened in a newer version of Excel. Learn more: https://go.microsoft.com/fwlink/?linkid=870924
Comment:
    The Revenue Requirement will change after grid arrival. It should be calculated for each scenario, considering which assets have been transferred and which remain under the ownership and operation of the mini-grid developer. There is a module below allowing users to calculate it.</t>
      </text>
    </comment>
    <comment ref="B52" authorId="2" shapeId="0" xr:uid="{F2622B89-68CC-48FE-ACB0-672BB36CCF64}">
      <text>
        <t>[Threaded comment]
Your version of Excel allows you to read this threaded comment; however, any edits to it will get removed if the file is opened in a newer version of Excel. Learn more: https://go.microsoft.com/fwlink/?linkid=870924
Comment:
    In order to accurately estimate end-user sales after grid arrival, it is important to consider price elasticity effects. If the end-user tariff becomes lower, demand will most likely increase. There is a module below allowing users to calculate it.</t>
      </text>
    </comment>
  </commentList>
</comments>
</file>

<file path=xl/sharedStrings.xml><?xml version="1.0" encoding="utf-8"?>
<sst xmlns="http://schemas.openxmlformats.org/spreadsheetml/2006/main" count="966" uniqueCount="603">
  <si>
    <t>Revenue Requirement</t>
  </si>
  <si>
    <t>Avoided costs to the customer</t>
  </si>
  <si>
    <t>Capex per kW</t>
  </si>
  <si>
    <t>Opex per kW</t>
  </si>
  <si>
    <t>Opex as a % of capex</t>
  </si>
  <si>
    <t>Source</t>
  </si>
  <si>
    <t>AMDA</t>
  </si>
  <si>
    <t>Data year</t>
  </si>
  <si>
    <t>CAPEX pricing</t>
  </si>
  <si>
    <t>Distribution assets capital costs</t>
  </si>
  <si>
    <t>Logistics, transport, warehousing</t>
  </si>
  <si>
    <t>Metering and termination</t>
  </si>
  <si>
    <t>Balance of system</t>
  </si>
  <si>
    <t>Batteries</t>
  </si>
  <si>
    <t>Civil works</t>
  </si>
  <si>
    <t>Lowest</t>
  </si>
  <si>
    <t>Median</t>
  </si>
  <si>
    <t>Average</t>
  </si>
  <si>
    <t>Highest</t>
  </si>
  <si>
    <t>National utility connection cost per customer</t>
  </si>
  <si>
    <t>Opex per customer per month</t>
  </si>
  <si>
    <t xml:space="preserve"> </t>
  </si>
  <si>
    <t>Full time positions for every kW of installed generation capacity.</t>
  </si>
  <si>
    <t>LCOE for solar hybrid mini-grids operating in isolated areas and serving productive-use (commercial and industrial) customers</t>
  </si>
  <si>
    <t>SE4ALL</t>
  </si>
  <si>
    <t>LCOE for diesel generators for same scenario</t>
  </si>
  <si>
    <t>ESMAP</t>
  </si>
  <si>
    <t>Capex as a percent of the cost of electricity for well-run off-grid solar hybrid combining PV, battery storage and a backup diesel generator.</t>
  </si>
  <si>
    <t>Development costs</t>
  </si>
  <si>
    <t>Operating costs as a percent of the total lifetime cost of a typical mini-grid</t>
  </si>
  <si>
    <t>ESMAP and the Rocky Mountain</t>
  </si>
  <si>
    <t>Typically, variable opex accounts for nearly 50% of a project’s opex, but this can vary based on a project’s operation hours and on fluctuations in diesel prices. Developers operating PV + storage projects without diesel enjoy lower opex and avoid potential fuel theft.</t>
  </si>
  <si>
    <t>Capacity utilization rate (%) = total energy sales (in kWh) / (installed solar array (in kW) x hours in year (8760 hours) x 20% capacity factor)</t>
  </si>
  <si>
    <t>LCOE for solar hybrid mini-grids using a 22% load factor</t>
  </si>
  <si>
    <t>The components with the largest share of overall CAPEX were batteries (15 percent), distribution grids (14 percent), PV modules (11 percent), inverters (5–9 percent), powerhouses (7 percent), and meters (4 percent)</t>
  </si>
  <si>
    <t>Powerhouse</t>
  </si>
  <si>
    <t>Staff costs on average account for 76% of operations costs</t>
  </si>
  <si>
    <t>Transformers</t>
  </si>
  <si>
    <t>Interest during construction</t>
  </si>
  <si>
    <t>Racking and mounting</t>
  </si>
  <si>
    <t>Installation and inspection</t>
  </si>
  <si>
    <t>Turbines and all its elements</t>
  </si>
  <si>
    <t>Civil works and foundations</t>
  </si>
  <si>
    <t>Power purchase costs</t>
  </si>
  <si>
    <t>Land</t>
  </si>
  <si>
    <t>Plant, Property &amp; Equipment Capital costs</t>
  </si>
  <si>
    <t>Useful life</t>
  </si>
  <si>
    <t>Units</t>
  </si>
  <si>
    <t>Input value</t>
  </si>
  <si>
    <t>Input values</t>
  </si>
  <si>
    <t>Inverters</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</si>
  <si>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</si>
  <si>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</si>
  <si>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</si>
  <si>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</si>
  <si>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</si>
  <si>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</si>
  <si>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</si>
  <si>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</si>
  <si>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</si>
  <si>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</si>
  <si>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</si>
  <si>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</si>
  <si>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</si>
  <si>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</si>
  <si>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</si>
  <si>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</si>
  <si>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</si>
  <si>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</si>
  <si>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</si>
  <si>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</si>
  <si>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Generator set for back-up</t>
  </si>
  <si>
    <t>Charge controllers</t>
  </si>
  <si>
    <t>Solar panels</t>
  </si>
  <si>
    <t>Water Wheels, Turbines and Generators</t>
  </si>
  <si>
    <t>Total</t>
  </si>
  <si>
    <t>Vehicles, motor cycles</t>
  </si>
  <si>
    <t>Office equipment and furniture</t>
  </si>
  <si>
    <t>Finance and admin IT (computers and software)</t>
  </si>
  <si>
    <t>Variable operations and maintenance costs</t>
  </si>
  <si>
    <t>Fixed operations and maintenance costs</t>
  </si>
  <si>
    <t>Central operations costs</t>
  </si>
  <si>
    <t>Capacity Factor</t>
  </si>
  <si>
    <t>%</t>
  </si>
  <si>
    <t>Availability</t>
  </si>
  <si>
    <t>hrs</t>
  </si>
  <si>
    <t>kWh</t>
  </si>
  <si>
    <t>Years</t>
  </si>
  <si>
    <t>Reserve margin</t>
  </si>
  <si>
    <t>1. Inputs</t>
  </si>
  <si>
    <t>Plant Annual Production Degradation Rate</t>
  </si>
  <si>
    <t>Plant economic useful life (or License period)</t>
  </si>
  <si>
    <t>placeholder - user to populate</t>
  </si>
  <si>
    <t>1.2 Capital Costs and Useful lives</t>
  </si>
  <si>
    <t>Distribution assets</t>
  </si>
  <si>
    <t>1.3 Working capital</t>
  </si>
  <si>
    <t xml:space="preserve">1.2.1 Solar </t>
  </si>
  <si>
    <t>1.2.2 Wind</t>
  </si>
  <si>
    <t>Debt</t>
  </si>
  <si>
    <t>Equity</t>
  </si>
  <si>
    <t>Grants</t>
  </si>
  <si>
    <t>Total Capital Costs</t>
  </si>
  <si>
    <t>Cost of debt</t>
  </si>
  <si>
    <t>Cost of equity</t>
  </si>
  <si>
    <t>Pre-tax</t>
  </si>
  <si>
    <t>Post-tax</t>
  </si>
  <si>
    <t>WACC</t>
  </si>
  <si>
    <t>Proportion of equity funding</t>
  </si>
  <si>
    <t>Proportion of debt funding</t>
  </si>
  <si>
    <t>Net Capital Costs</t>
  </si>
  <si>
    <t>Replacement Year</t>
  </si>
  <si>
    <t>Fuel cost adjustment</t>
  </si>
  <si>
    <t>Genset</t>
  </si>
  <si>
    <t>Number of days of working capital allowed</t>
  </si>
  <si>
    <t>Days</t>
  </si>
  <si>
    <t>Design Installed (name plate) Capacity</t>
  </si>
  <si>
    <t>Lender's fee (% of borrowing)</t>
  </si>
  <si>
    <t>Debt tenure</t>
  </si>
  <si>
    <t>Months</t>
  </si>
  <si>
    <t>Interest During Construction (IDC)</t>
  </si>
  <si>
    <t>Cost of  debt (Annual)</t>
  </si>
  <si>
    <t>Other non-tariff revenues (please specify)</t>
  </si>
  <si>
    <t>Input</t>
  </si>
  <si>
    <t>per annum</t>
  </si>
  <si>
    <t>Depreciation</t>
  </si>
  <si>
    <t>Interest rate (Annual Percentage Rate)</t>
  </si>
  <si>
    <t>Proportion of O&amp;M that escalates annually</t>
  </si>
  <si>
    <t># of customers</t>
  </si>
  <si>
    <t>% Cost allocated</t>
  </si>
  <si>
    <t>Corporate taxation rate</t>
  </si>
  <si>
    <t>Power available</t>
  </si>
  <si>
    <t>Net Energy output, Year 1</t>
  </si>
  <si>
    <t>1.1 Plant Capacity\Performance</t>
  </si>
  <si>
    <t>Replacement cost</t>
  </si>
  <si>
    <t>% Consumption</t>
  </si>
  <si>
    <t>1.6 Non-tariff revenues</t>
  </si>
  <si>
    <t>1.7 Financing information</t>
  </si>
  <si>
    <t>1.8 Customer categories, consumption and cost causality</t>
  </si>
  <si>
    <t>1.9 Economic data</t>
  </si>
  <si>
    <t>placeholder1 (Lifeline)</t>
  </si>
  <si>
    <t>placeholder3 (Business basic shops for lighting)</t>
  </si>
  <si>
    <t>placeholder7 (Street lighting)</t>
  </si>
  <si>
    <t>Tariff Factor</t>
  </si>
  <si>
    <t>placeholder2 (Households)</t>
  </si>
  <si>
    <t>placeholder4 (Business with appliances like fridges, freezers, etc)</t>
  </si>
  <si>
    <t>placeholder5 (Anchor-Mines/Timber Mills/Procesors, Bank, etc)</t>
  </si>
  <si>
    <t>placeholder6 (Institutions – schools, health centres, admin centres, etc)</t>
  </si>
  <si>
    <t>Tariffs</t>
  </si>
  <si>
    <t>Avoided costs to the utility (cost of connection for the utility providing services)</t>
  </si>
  <si>
    <t>Average Revenue Per User (ARPU)</t>
  </si>
  <si>
    <t>Year</t>
  </si>
  <si>
    <t>Plant degradation (kWh equivalent)</t>
  </si>
  <si>
    <t>Total Lifecycle costs</t>
  </si>
  <si>
    <t>Depreciation/Yr</t>
  </si>
  <si>
    <t xml:space="preserve">Net Energy Output Tariffed </t>
  </si>
  <si>
    <t>Net Energy Output, First Year</t>
  </si>
  <si>
    <t xml:space="preserve">Cumulative Net Energy Output Tariffed </t>
  </si>
  <si>
    <t xml:space="preserve">     Income (Recurrent) Subsidy</t>
  </si>
  <si>
    <t xml:space="preserve">     Capital Subsidy</t>
  </si>
  <si>
    <t xml:space="preserve">     Customer Payments for Connection</t>
  </si>
  <si>
    <t xml:space="preserve">     Accumulated Depreciation</t>
  </si>
  <si>
    <t>Investment + O&amp;M + Fuel</t>
  </si>
  <si>
    <t>PVIF</t>
  </si>
  <si>
    <t>Present Value of Inv + O&amp;M + Fuel</t>
  </si>
  <si>
    <t>Total Regulated Asset Base (CAPEX + WC)</t>
  </si>
  <si>
    <t>Straightline</t>
  </si>
  <si>
    <t>O&amp;M Expenditure</t>
  </si>
  <si>
    <t>Regulated Asset Base (RAB) Capex</t>
  </si>
  <si>
    <t>Working Capital (WC)</t>
  </si>
  <si>
    <t>Tax Allowance</t>
  </si>
  <si>
    <t>Total Return on RAB</t>
  </si>
  <si>
    <t xml:space="preserve">  Debt Interest</t>
  </si>
  <si>
    <t xml:space="preserve">  Equity Return</t>
  </si>
  <si>
    <t>Input Yr1</t>
  </si>
  <si>
    <t>Input Yr2</t>
  </si>
  <si>
    <t>Input Yr3</t>
  </si>
  <si>
    <t>Input Yr4</t>
  </si>
  <si>
    <t>Input Yr5</t>
  </si>
  <si>
    <t>Subsidy to reduce O&amp;M costs</t>
  </si>
  <si>
    <t>Customer Payments for Connection</t>
  </si>
  <si>
    <t>Annual Depreciation</t>
  </si>
  <si>
    <t>Units of output</t>
  </si>
  <si>
    <t>Annuity</t>
  </si>
  <si>
    <t>Staightline</t>
  </si>
  <si>
    <t>Units of Output</t>
  </si>
  <si>
    <t>Yes</t>
  </si>
  <si>
    <t>Value</t>
  </si>
  <si>
    <t>Under-recovery balances</t>
  </si>
  <si>
    <t>Over-recoveries</t>
  </si>
  <si>
    <t>FX Rate Difference</t>
  </si>
  <si>
    <t>Total FX Adjustment</t>
  </si>
  <si>
    <t>FX Adjustment per kWh</t>
  </si>
  <si>
    <t>Positive (+) means you increase tariff and (Negative (-) means you reduce tariff</t>
  </si>
  <si>
    <t>Unit</t>
  </si>
  <si>
    <t>used in kWh tariff adjustment</t>
  </si>
  <si>
    <t>Used in Capex replacement escalation, but offset against expected declining replacements purchase costs</t>
  </si>
  <si>
    <t>Inflation rate for escalating O&amp;M annual costs</t>
  </si>
  <si>
    <t>FX Rate actual/current FX Rate at time of tariff application</t>
  </si>
  <si>
    <t>FX Rate expected at end of tariff control period</t>
  </si>
  <si>
    <t>Cumulative net deferred account balances</t>
  </si>
  <si>
    <t>Actual revenues achieved</t>
  </si>
  <si>
    <t>Total funding for expenditure</t>
  </si>
  <si>
    <t>Equity IRR</t>
  </si>
  <si>
    <t>Debt service and interest cover ratios and cashflow available</t>
  </si>
  <si>
    <t>Interest Cover Ratio</t>
  </si>
  <si>
    <t>CFADS</t>
  </si>
  <si>
    <t>Generation</t>
  </si>
  <si>
    <t>Distribution</t>
  </si>
  <si>
    <t>debt</t>
  </si>
  <si>
    <t>% of capex</t>
  </si>
  <si>
    <t>Alternative presentation</t>
  </si>
  <si>
    <t>Metering &amp; terminantion</t>
  </si>
  <si>
    <t>Yr1</t>
  </si>
  <si>
    <t>Yr2</t>
  </si>
  <si>
    <t>Yr3</t>
  </si>
  <si>
    <t>Yr4</t>
  </si>
  <si>
    <t>Yr5</t>
  </si>
  <si>
    <t>Local currency depreciation rate annually</t>
  </si>
  <si>
    <t>kWh projected sales for tariff control period</t>
  </si>
  <si>
    <t>Weighted Cost</t>
  </si>
  <si>
    <t>Amounts</t>
  </si>
  <si>
    <t>% funding</t>
  </si>
  <si>
    <t>Tax rate</t>
  </si>
  <si>
    <t>After Tax</t>
  </si>
  <si>
    <t>Reservoirs/Dams/Waterways Costs/Forebay</t>
  </si>
  <si>
    <t>Intake, Penstock and Surge Chamber, draft tube, tail race</t>
  </si>
  <si>
    <t>1.2.4 Biomass</t>
  </si>
  <si>
    <t xml:space="preserve">Fuel storage and handling equipment, </t>
  </si>
  <si>
    <t>Steam turbine/Generator/Condenser/Cooling tower</t>
  </si>
  <si>
    <t>Combustor/furnace/Boiler/gasfier</t>
  </si>
  <si>
    <t>kWp</t>
  </si>
  <si>
    <t>Nominal Power generated</t>
  </si>
  <si>
    <t>Annual hours of energy</t>
  </si>
  <si>
    <t xml:space="preserve">Custom duties </t>
  </si>
  <si>
    <t>VAT</t>
  </si>
  <si>
    <t>Custom duties</t>
  </si>
  <si>
    <t>Building and fixtures</t>
  </si>
  <si>
    <t>Sale of power purchased from 3rd parties</t>
  </si>
  <si>
    <t>Total O&amp;M Costs</t>
  </si>
  <si>
    <t>Present Value of Total Energy Sold</t>
  </si>
  <si>
    <t>Power purchased from 3rd parties</t>
  </si>
  <si>
    <t>Bulk power purchase tariff</t>
  </si>
  <si>
    <t>Regulatory costs (see below kWh purchased)</t>
  </si>
  <si>
    <t>Power purchased from 3rd parties for resale</t>
  </si>
  <si>
    <t>Capex per kW - Generation</t>
  </si>
  <si>
    <t>Capex per kW - Distribution</t>
  </si>
  <si>
    <t>Capex per kW - Metering &amp; termination</t>
  </si>
  <si>
    <t>No</t>
  </si>
  <si>
    <t>Commercial Losses (/theft)</t>
  </si>
  <si>
    <t>Avoided costs to the utility (cost of connection for the utility providing services)= network expense can drive the cost of producing and delivering a kilowatt hour of electricity to more than USD 1 (SE4ALL - 2020 pg 126)</t>
  </si>
  <si>
    <t>Fixed charge+kWh charge tariff</t>
  </si>
  <si>
    <t>kWh/PAYG/Energy-based tariff</t>
  </si>
  <si>
    <t>Flat rate tariff (Revenues/No. of Customers)</t>
  </si>
  <si>
    <t>Time of Use(ToU) tariff</t>
  </si>
  <si>
    <t>Other-please specify</t>
  </si>
  <si>
    <t>Fixed</t>
  </si>
  <si>
    <t>A base tariff is determined and all other tariffs are a % of that base tariff</t>
  </si>
  <si>
    <t>Monthly ACPC</t>
  </si>
  <si>
    <t>Currency/Customer/Month</t>
  </si>
  <si>
    <t>kWh charge</t>
  </si>
  <si>
    <t>Other Income (Subsidy)</t>
  </si>
  <si>
    <t>Earnings before Int, Tax. Depr, &amp; Amm (EBITDA)</t>
  </si>
  <si>
    <t>Earnings Before Interest and Taxes (EBIT)</t>
  </si>
  <si>
    <t>Interest</t>
  </si>
  <si>
    <t>Taxable Income</t>
  </si>
  <si>
    <t>Taxes, including taxes on Other Income</t>
  </si>
  <si>
    <t>Net Income after taxes</t>
  </si>
  <si>
    <t>EBITDA</t>
  </si>
  <si>
    <t>Taxes paid, including taxes on Other Income</t>
  </si>
  <si>
    <t>Total Project Free Cash Flows</t>
  </si>
  <si>
    <t>Total Valuation of Gx, Dx, Rx</t>
  </si>
  <si>
    <t>IFRS 14-Regulatory Deferral Accounts Balance</t>
  </si>
  <si>
    <t>Undepreciated Capital Cost Balance</t>
  </si>
  <si>
    <t>% Gx of total valuation</t>
  </si>
  <si>
    <t>% Dx of total valuation</t>
  </si>
  <si>
    <t>% Rx of total valuation</t>
  </si>
  <si>
    <t>Generation Assets Valuation</t>
  </si>
  <si>
    <t>Distribution Assets Valuation</t>
  </si>
  <si>
    <t>Metering and termination Assets Valuation</t>
  </si>
  <si>
    <t>Total Valuation</t>
  </si>
  <si>
    <t>Total capex per kW</t>
  </si>
  <si>
    <t>Generation capex per kW</t>
  </si>
  <si>
    <t>Distribution capex per kW</t>
  </si>
  <si>
    <t>Metering &amp; termination capex per kW</t>
  </si>
  <si>
    <t>Allowed revenues</t>
  </si>
  <si>
    <t>Power/Load-based tariff</t>
  </si>
  <si>
    <t>O&amp;M Expenses</t>
  </si>
  <si>
    <t>Borrowing</t>
  </si>
  <si>
    <t>Principal</t>
  </si>
  <si>
    <t>Loan origination costs</t>
  </si>
  <si>
    <t>Total Principal</t>
  </si>
  <si>
    <t>Debt Tenor (Years)</t>
  </si>
  <si>
    <t>Debt Interest Rate (%) p.a.</t>
  </si>
  <si>
    <t>Repayments</t>
  </si>
  <si>
    <t>Total Repayment</t>
  </si>
  <si>
    <t>Balance</t>
  </si>
  <si>
    <t>Free Cash Flows to Equity</t>
  </si>
  <si>
    <t>Debt Service (Principal and Interest)</t>
  </si>
  <si>
    <t>Debt Service Cover Ratio = EBITDA/Debt Service (Principal+Interest)</t>
  </si>
  <si>
    <t>Interest Cover Ratio = EBITDA/Interest payment</t>
  </si>
  <si>
    <t>CFADS = Receipts from Customers-Payments to suppliers and employees-Royalties-Capital expenditures-Taxes</t>
  </si>
  <si>
    <t>Project NPV and IRR</t>
  </si>
  <si>
    <t>NPV</t>
  </si>
  <si>
    <t>Net Present Value (NPV)</t>
  </si>
  <si>
    <t>Project IRR</t>
  </si>
  <si>
    <t>Project Internal Rate of Return (IRR)</t>
  </si>
  <si>
    <t>b) IRR to get required tariff - use "goal seek" of desired IRR by changing WACC equity element and then "paste special values"</t>
  </si>
  <si>
    <t>a) Start with target "tariff" to get required subsidy - use "goal seek" of the target tariff by changing the capex subsidy and then "paste special values"</t>
  </si>
  <si>
    <t>c) Start with a subsidy to get a tariff or number of connections - change the subsidy value and then "paste special values" from results above</t>
  </si>
  <si>
    <t>currency/kW</t>
  </si>
  <si>
    <t>Average Consumption Per Customer (ACPC)-Monthly</t>
  </si>
  <si>
    <t>3. Outputs</t>
  </si>
  <si>
    <t>2. Calculations</t>
  </si>
  <si>
    <t>1.2.3 Hydro</t>
  </si>
  <si>
    <t>Generator and auxillaries</t>
  </si>
  <si>
    <t>Inlet/inletpipe/Outlet/outlet pipe/partition walls/pipe support</t>
  </si>
  <si>
    <t>Mixing tank/Digester tank/mixer/Gas holder/valve/outlet for biogas/Effluent outlet tank</t>
  </si>
  <si>
    <t>Nominal WACC</t>
  </si>
  <si>
    <t>WACC Nominal</t>
  </si>
  <si>
    <t>3.1(b) Graph of the tariffs</t>
  </si>
  <si>
    <t>3.2(a) Financial indicators</t>
  </si>
  <si>
    <t>3.3(a) Mini grid Valuation</t>
  </si>
  <si>
    <t>3.5 Benchmarks comparisons</t>
  </si>
  <si>
    <t>3.6 Sensitivity scenarios outputs</t>
  </si>
  <si>
    <t>Baseline tariff</t>
  </si>
  <si>
    <t>Customer categories</t>
  </si>
  <si>
    <t>Baseline average revenue per user (ARPU)</t>
  </si>
  <si>
    <t>Required Subsidy to return NPV to Baseline</t>
  </si>
  <si>
    <t>Baseline NPV</t>
  </si>
  <si>
    <t>Baseline average consumption per user (ACPU)</t>
  </si>
  <si>
    <t>NPV neutrality (Subsidy required to protecting developer NPV)</t>
  </si>
  <si>
    <t>The lowest consuming users increased their consumption by 5x, suggesting their low electricity use was due to budget constraints, not a lack of demand.</t>
  </si>
  <si>
    <t>Customers increased their consumption by 1.5x to 3x baseline levels after two years.</t>
  </si>
  <si>
    <r>
      <t>% tariff reduction (</t>
    </r>
    <r>
      <rPr>
        <sz val="11"/>
        <color rgb="FFFF0000"/>
        <rFont val="Calibri"/>
        <family val="2"/>
        <scheme val="minor"/>
      </rPr>
      <t>paid by subsidy</t>
    </r>
    <r>
      <rPr>
        <sz val="11"/>
        <rFont val="Calibri"/>
        <family val="2"/>
        <scheme val="minor"/>
      </rPr>
      <t>)</t>
    </r>
  </si>
  <si>
    <t>Total 5-year subsidy after which volumes increase offsets tariffs reduction</t>
  </si>
  <si>
    <t>This increase in consumption reduced the amount of lost revenue that subsidy needs to bridge.</t>
  </si>
  <si>
    <r>
      <t xml:space="preserve">Developer average lowest acceptable </t>
    </r>
    <r>
      <rPr>
        <sz val="11"/>
        <color rgb="FFFF0000"/>
        <rFont val="Calibri"/>
        <family val="2"/>
        <scheme val="minor"/>
      </rPr>
      <t>tariff/kWh</t>
    </r>
    <r>
      <rPr>
        <sz val="11"/>
        <rFont val="Calibri"/>
        <family val="2"/>
        <scheme val="minor"/>
      </rPr>
      <t xml:space="preserve"> for &gt;=20 years</t>
    </r>
  </si>
  <si>
    <t>New ARPU</t>
  </si>
  <si>
    <t>New ARPU at baseline ACPU</t>
  </si>
  <si>
    <t>times (x) ACPU over baseline</t>
  </si>
  <si>
    <t xml:space="preserve"> Beyond year three, consumption will have increased to such a degree that revenues exceed baseline levels</t>
  </si>
  <si>
    <t>The number of connections at treatment sites will be 10% greater after one year</t>
  </si>
  <si>
    <t>Annual</t>
  </si>
  <si>
    <t xml:space="preserve">Consumption will increase such that average revenue per user (ARPU), excluding subsidy payments, returns to baseline levels by year three. </t>
  </si>
  <si>
    <t>For every $1 they saved on price, customers spent $0.93 on increasing their energy consumption. Therefore, after one year, developers’ revenues had decreased by only 7% on average.</t>
  </si>
  <si>
    <t>Therefore, sites with low consumption levels may be best suited for tariff reductions given the large potential gains.</t>
  </si>
  <si>
    <t>Reduced tariff on average</t>
  </si>
  <si>
    <t>How CBEA set the subsidy per kWh:- It worked with each developer to determine the lowest average tariff they could charge customers for at least 20 years which
ensures: (a) Projected revenues, including subsidy payments, are sufficient to cover operating costs, depreciation, and project return in the long term; (b) The subsidy payments over the 5 years of the prototype, and expected revenue increases from higher consumption, will cover any additional capex or expansion necessary. The mini grid can therefore run profitably after the subsidy expires at a tariff that only covers opex, thus preserving initial project net present value (NPV).</t>
  </si>
  <si>
    <t>Savings used to buy more kWh</t>
  </si>
  <si>
    <t>The total subsidy available for each site was capped.</t>
  </si>
  <si>
    <t>Customers’ tariffs will not need to be increased following the completion of the prototype</t>
  </si>
  <si>
    <t>$ spent on more kWh per $ saved</t>
  </si>
  <si>
    <t>Monthly Saving by Customer on lower tariff</t>
  </si>
  <si>
    <t>2.2 Depreciation</t>
  </si>
  <si>
    <t>2.3 Revenue Requirement = O&amp;M + Depreciation + (Rate Base x WACC) + Tax Allowance</t>
  </si>
  <si>
    <t>LCOE Calculations</t>
  </si>
  <si>
    <t>Year One LCOE</t>
  </si>
  <si>
    <t>LCOE with annual inflation indexation</t>
  </si>
  <si>
    <t>currency/customer</t>
  </si>
  <si>
    <t>Price elasticity is not linear as shown in the following CBEA graph:</t>
  </si>
  <si>
    <t>Additional Notes: (Source CBEA Headlines Report)</t>
  </si>
  <si>
    <t>kWh additional consumed monthly</t>
  </si>
  <si>
    <r>
      <t xml:space="preserve">Current available supply capacity </t>
    </r>
    <r>
      <rPr>
        <sz val="11"/>
        <color rgb="FFFF0000"/>
        <rFont val="Calibri"/>
        <family val="2"/>
        <scheme val="minor"/>
      </rPr>
      <t>kWh</t>
    </r>
  </si>
  <si>
    <r>
      <t xml:space="preserve">Capacity </t>
    </r>
    <r>
      <rPr>
        <sz val="11"/>
        <color rgb="FFFF0000"/>
        <rFont val="Calibri"/>
        <family val="2"/>
        <scheme val="minor"/>
      </rPr>
      <t>shortfall (-)</t>
    </r>
    <r>
      <rPr>
        <sz val="11"/>
        <rFont val="Calibri"/>
        <family val="2"/>
        <scheme val="minor"/>
      </rPr>
      <t xml:space="preserve"> /surplus (+) after tariff reduction </t>
    </r>
    <r>
      <rPr>
        <sz val="11"/>
        <color rgb="FFFF0000"/>
        <rFont val="Calibri"/>
        <family val="2"/>
        <scheme val="minor"/>
      </rPr>
      <t>kWh</t>
    </r>
  </si>
  <si>
    <r>
      <t xml:space="preserve">Total annual consumption after tariff reduction </t>
    </r>
    <r>
      <rPr>
        <sz val="11"/>
        <color rgb="FFFF0000"/>
        <rFont val="Calibri"/>
        <family val="2"/>
        <scheme val="minor"/>
      </rPr>
      <t>kWh</t>
    </r>
  </si>
  <si>
    <r>
      <t xml:space="preserve">Total annual consumption before tariff reduction </t>
    </r>
    <r>
      <rPr>
        <sz val="11"/>
        <color rgb="FFFF0000"/>
        <rFont val="Calibri"/>
        <family val="2"/>
        <scheme val="minor"/>
      </rPr>
      <t>kWh</t>
    </r>
  </si>
  <si>
    <t>Total or Average</t>
  </si>
  <si>
    <t>b) Note in the Tanzania pilot, “at sites where demand is close to generating capacity, serving new connections may also require additional investment in generating capacity that reduces overall project returns”, and therefore this capacity constraint (grid optimisation consumption analysis) is calculated in the modelling</t>
  </si>
  <si>
    <t xml:space="preserve">a) The output will be the required subsidy to achieve NPV neutrality, reduced tariff, i.e., what the price needs to fall to (covering opex) for extra demand up to available capacity (This means there is opportunity for grid optimisation where the there is some unutilized capacity). </t>
  </si>
  <si>
    <t>Debt Service Cover Ratio (DSCR)</t>
  </si>
  <si>
    <t>Benchmark DSCR</t>
  </si>
  <si>
    <t>Benchmark Interest Cover Ratio</t>
  </si>
  <si>
    <t>Capacity utilization</t>
  </si>
  <si>
    <t>Average Revenue Per User (ARPU)-monthly</t>
  </si>
  <si>
    <t>Opex as a % of the total lifetime cost of a typical mini-grid</t>
  </si>
  <si>
    <t>Percentage of the community connected (% electrification rate within the communities the mini grid serves)</t>
  </si>
  <si>
    <t>Input cell</t>
  </si>
  <si>
    <t>Only in these cells input is required, all other cells cannot be edited.</t>
  </si>
  <si>
    <t>Calculation</t>
  </si>
  <si>
    <t>The cell contains a formula for calculation. The user need not enter values in these cells.</t>
  </si>
  <si>
    <t>Linked Cell</t>
  </si>
  <si>
    <t>The cell is linked to another cells in the same tab or another tab in this model.</t>
  </si>
  <si>
    <t>Explanation on how and what to populate in the Section</t>
  </si>
  <si>
    <t>Scenarios (Worst &amp; Best Case Scenarios)</t>
  </si>
  <si>
    <t>1. Capex costs higher or lower</t>
  </si>
  <si>
    <r>
      <t>2.</t>
    </r>
    <r>
      <rPr>
        <sz val="7"/>
        <color theme="1"/>
        <rFont val="Times New Roman"/>
        <family val="1"/>
      </rPr>
      <t> </t>
    </r>
    <r>
      <rPr>
        <sz val="11"/>
        <color theme="1"/>
        <rFont val="Calibri"/>
        <family val="2"/>
        <scheme val="minor"/>
      </rPr>
      <t>Annual O&amp;M higher or lower</t>
    </r>
  </si>
  <si>
    <r>
      <t>3.</t>
    </r>
    <r>
      <rPr>
        <sz val="7"/>
        <color theme="1"/>
        <rFont val="Times New Roman"/>
        <family val="1"/>
      </rPr>
      <t> </t>
    </r>
    <r>
      <rPr>
        <sz val="11"/>
        <color theme="1"/>
        <rFont val="Calibri"/>
        <family val="2"/>
        <scheme val="minor"/>
      </rPr>
      <t>WACC higher or lower - Change cost of debt and/or cost of equity</t>
    </r>
  </si>
  <si>
    <t>5. Average Consumption per customer (ACPC)/number of connection is higher or lower</t>
  </si>
  <si>
    <t xml:space="preserve">This tool guide explains how to operate the tool to enter inputs, the calculations and outputs. This tool guide tab is also provided as User Guide in MS Word and PDF document formats. </t>
  </si>
  <si>
    <t>1.4 Operating and Maintenance (O&amp;M) costs</t>
  </si>
  <si>
    <t>1.11 Benchmarks</t>
  </si>
  <si>
    <t>1.7.1 Summary of Sources of Funding for Total Installed Capital Cost</t>
  </si>
  <si>
    <t>1.7.3 Weighted Average Cost of Capital (WACC) in Nominal terms</t>
  </si>
  <si>
    <t>1.7.4 Construction Financing (Interest During Construction)</t>
  </si>
  <si>
    <t>1.1 Plant Capacity/Performance</t>
  </si>
  <si>
    <t>1.2.5 Floating Biogas</t>
  </si>
  <si>
    <t>1.7.2 Debt Finance Terms</t>
  </si>
  <si>
    <t>2.4 True up (IFRS 14 — Regulatory Deferral Accounts Balances)</t>
  </si>
  <si>
    <t>2.5 Mini grid valuation</t>
  </si>
  <si>
    <t>2.6 Tariffs Calculations</t>
  </si>
  <si>
    <t>2.7.1 Statement of Profit or Loss &amp; other Comprehensive Income</t>
  </si>
  <si>
    <t>2.7.2 Project Cash Flows</t>
  </si>
  <si>
    <t>2.7.4 Project NPV and IRR</t>
  </si>
  <si>
    <t>2.8 Benchmarks</t>
  </si>
  <si>
    <t>2.7 Financial Performance</t>
  </si>
  <si>
    <t>2.7.3 Debt Ratios and Cashflows available for debt service</t>
  </si>
  <si>
    <t>2.7.5 Debt repayment schedule</t>
  </si>
  <si>
    <t>Total energy delivered/sold</t>
  </si>
  <si>
    <t>2.1 Net Energy Output/Sold:</t>
  </si>
  <si>
    <t>3.1(a) Tariffs Structure by customer category</t>
  </si>
  <si>
    <t>Comparison of depreciation methods</t>
  </si>
  <si>
    <t>3.4(b) Depreciation Comparison Graphs</t>
  </si>
  <si>
    <t>1.12 Inputs for Portfolio sites</t>
  </si>
  <si>
    <t>3.6.2 Outputs variations - use "goal seek" and then "paste special values"</t>
  </si>
  <si>
    <t>3.6.4 Price elasticity of demand – inputs and outputs</t>
  </si>
  <si>
    <t>3.6.3 Relating subsidies to connections to tariffs = use same approach as #3.6.2(c)</t>
  </si>
  <si>
    <t>3.2(b) Financial indicators Graphs</t>
  </si>
  <si>
    <t>3.3(b) Mini grid Valuation Graph</t>
  </si>
  <si>
    <t>3.6.1 Inputs variations - Change that input value and then use "paste special values"</t>
  </si>
  <si>
    <t>Section of the tool</t>
  </si>
  <si>
    <t>Mini Grids Tariff Tool Guide</t>
  </si>
  <si>
    <t>The user should enter the grant amounts received against the year of receipt. Grant used for purchase of equipment or customer connections should be entered on the capital grants line. Connection charges paid by customers should be entered under the customer payments for connection. Grants received to support O&amp;M shoul be entered under the Subsidy to reduce O&amp;M costs</t>
  </si>
  <si>
    <t>Disconnection penalties and re-connection fees</t>
  </si>
  <si>
    <t>The user should enter the revenues received from disconnection penalties, re-connection fees and any other revenues. The regulator may deduct it from the Revenue Requirement</t>
  </si>
  <si>
    <t>The user should input the tenor of the loan (years) the debt origination cost as % of the total loan, and the cost of debt as annual percentage (%) interest rate (APR)</t>
  </si>
  <si>
    <t>The user should enter the cost of equity. The cost of debt will be linked to the APR above. The proportion of debt and proportion of equity are automatically calculated from the Summary of Sources of Funding entered above</t>
  </si>
  <si>
    <t>The user will enter the economic data using data sources specificed by the regulator</t>
  </si>
  <si>
    <t xml:space="preserve">The user should enter the number of days of working capital. Pre-paid metering reduces the number of days allowance for working capital. Working capital is restricted to selected items and number of days. </t>
  </si>
  <si>
    <t>This extrapolates the plant performance/capacity factors from the inputs tabs and extends it for the useful economic life (license period) of the plant. The annual degradation is substracted. The power purchased from the 3rd parties is added to get the annual total energy sold</t>
  </si>
  <si>
    <t>1.5 Subsidies/Grants/Contributions Received</t>
  </si>
  <si>
    <t>These calculations are performed automatically. The user should check to ensure the principal amounts used by the tool here are correct.</t>
  </si>
  <si>
    <t>The user should adjust these calculations according to their own preferred tariff structures. The calculations made here are only for illustrative examples only and are not meant to be prescriptive</t>
  </si>
  <si>
    <t>The mini grid valuation is done automatically using the depreciated historical cost plus any revenues under recoveries calculated as True Up in terms of IFRS14 above</t>
  </si>
  <si>
    <t>There are no inputs required on this as the Calculations tab is linked to the main Inputs tabs already entered. The Revenue Requirement calculation is automatically performed comprising of O&amp;M expenses + depreciation + return on capital + tax allowance. The subsidies received are deducted in the calculation of Revenue Requirement.</t>
  </si>
  <si>
    <t>The financial performance calculations are linked to main Inputs tabs already entered. All these calculations are automatically performed on this tab: 1) Statement of Profit or Loss &amp; Other Comprehensive Income 2) Project Cash Flows, 3)Debt Service Cover Ratio and Interest Cover Ratios, 4) Project NPV and IRR
These financial performance metrics are displayed in the Outputs tab</t>
  </si>
  <si>
    <t>These calcuations are performed automatically specific for this mini grid only. The data already entered calcuates the comparable benchmarks specific to this mini grid</t>
  </si>
  <si>
    <t>This automaticallys displays the financial indicators from the Calculations tab</t>
  </si>
  <si>
    <t>This automaticallys graphs over 5 years the financial indicators from above</t>
  </si>
  <si>
    <t>This automaticallys graphs over 5 years the tariffs for chosen by the developer from above</t>
  </si>
  <si>
    <t>This automaticallys displays the mini grid valuation from the Calculations tab</t>
  </si>
  <si>
    <t>This automaticallys graphs over 5 years the mini grid from above</t>
  </si>
  <si>
    <t>This automaticallys displays the a comparison of the three depreciation methods from the Calculations tab</t>
  </si>
  <si>
    <t>This automaticallys graphs over 5 years a comparison of the three (3) depreciation methods from above</t>
  </si>
  <si>
    <t xml:space="preserve">This pulls the Benchmarks from the inputs tabs and compares them with those calculates in the Calculations tab. </t>
  </si>
  <si>
    <t>a) Start with target "tariff" to get required subsidy - use "goal seek" of the target tariff by changing the capex subsidy and then "paste special values"; b) IRR to get required tariff - use "goal seek" of desired IRR by changing WACC equity element and then "paste special values"; c) Start with a subsidy to get a tariff or number of connections - change the subsidy value and then "paste special values" from results above</t>
  </si>
  <si>
    <t>Change that input value and then use "paste special values". The inputs to be varied inlude: 1. Capex costs higher or lower; 2. Annual O&amp;M higher or lower; 3. WACC higher or lower - Change cost of debt and/or cost of equity; 4. Economic useful (license period) life of the plant is longer or shorter; 5. Average Consumption per customer (ACPC)/number of connection is higher or lower</t>
  </si>
  <si>
    <t>These are sourced by the regulator and pre-specified in the tool. No entries required</t>
  </si>
  <si>
    <t>The user should follow the same approach as #3.6.2(c) above</t>
  </si>
  <si>
    <t>While this is provided for in this tools, we do not recommend mainstreaming this Price elasticity of demand because of limited data and the subsidies required for the developers to make it work.</t>
  </si>
  <si>
    <t>The user is allowed to increase or decrease input variables to see how it would change tariffs. The User can also work backwards from outputs to inputs. The user can create a best case scenario, expected case scenario and worst case scenarios. Results of the multiple scenarios may be compared by using the "copy and paste special values" or "goal seek" feature to create various Sensitivity Scenarios Analysis. The user should follow the following guidance to perform some of these sensitivity scenarios analysis:</t>
  </si>
  <si>
    <t>Total losses (kWh generated - kWh sold)/kWh generated) %</t>
  </si>
  <si>
    <t>The hyperlinks below against each section heading allows the user to directly jump to the respective section in the tool.</t>
  </si>
  <si>
    <t>New ACPU Monthly</t>
  </si>
  <si>
    <t xml:space="preserve"> currency/customer</t>
  </si>
  <si>
    <t>1.2.7 Interest during construction (IDC)</t>
  </si>
  <si>
    <t>The user should enter a summary of all their sources of funding for the project, broken down into debt, equity and grants</t>
  </si>
  <si>
    <t>The user should select from the drop down menu the generation technology. The regulator will pre-assign the construction period in number of months that it will take to complete construction, testing and commissioning to commercial operation date of the plant.</t>
  </si>
  <si>
    <t>For imported goods and services priced in foreign currency, the cost amounts should be converted from foreign currency to local currency using the same foreign exchange (FX) rate used on import declaration forms or as may be directed by regulator in the data sources above. A record of outstanding foreign currency (FX) expenditure and loans balances should be kept for purposes of foreign currency gains/losses adjustment to the tariff. Once the amount of outstanding FX capex/loan and exchange rates are entered the calculations are automatic to give the adjustment to be made to the tariff annually for FX gains/losses</t>
  </si>
  <si>
    <t>The user should enter the financing information in the following subsections:</t>
  </si>
  <si>
    <t>Average Consumption Per Customer (ACPC)-kWh monthly</t>
  </si>
  <si>
    <t>Where the rules allow for portfolio tariffs applications the user will enter the capex for each site as well as the number of customers for each site. The user will take/link the sites aggregates to the main Inputs tab to calculate one average tariff for all the aggregated portfolio sites. Portfolio tariffs application removes having a patchwork of individualised tariffs per site even where the sites are next to each other. Portfolio tariff approach will also reduce the regulatory burden of preparing a tariff per site</t>
  </si>
  <si>
    <t>Three (3) depreciation methods are provided. The user should select the preferred method of depreciation using “Yes” or “No” from the dropdown menu. The Regulator should decide on their preferred method of depreciation [a] Straight-line; or [b] Units of output; or [c] The annuity method.  For the Straight-line method, the tool automatically uses the economic useful life entered in the Inputs tab.  For the Units of output method, the depreciation will be calculated automatically by the model, using the kWh sales. For the Annuity Method, the depreciation is also calculated automatically in the tool.</t>
  </si>
  <si>
    <t>The tool enables the user track any incomes that will be under-recovered or over-recovered during the tariff control peiod in accordance with International Financial Reporting Standards (IFRS) 14. This under-recovery or over-recovery will be added or subtracted to the valuation of the mini grid during valuation as explained below or adjusted in the next tariff review.</t>
  </si>
  <si>
    <t>Depreciation (Note: Can use Tax Wear and Tear Allowance)</t>
  </si>
  <si>
    <t>4. Economic useful life (license period) of the plant is longer or shorter</t>
  </si>
  <si>
    <t>The tool consists of this user guide tab, three (3) mains tabs and a supplementary info tab for portfolio applications. The following pictogram illustrate the 3 main tabs:</t>
  </si>
  <si>
    <t>This tool is based on the cost of service (or rate of return) methodology, i.e., Revenue Requirement= O&amp;M expenses+Depreciation+(Rate Base x Rate of Return)+Taxes</t>
  </si>
  <si>
    <t>Cumulative RAB Capex net of subsidy &amp; customer payments for connection</t>
  </si>
  <si>
    <t>Mini grid Average subsidy/cost per connection</t>
  </si>
  <si>
    <t>1.2.6 General or "shared" assets used in the electricity business</t>
  </si>
  <si>
    <t>The user should select from the drop down menu in 1.7.4 the generation technology. The regulator will pre-assign the construction period in number of months that it will take from commencement of construction until commercial operation date(COD) of the plant. IDC is then automatically calculated. The grace period if different from the contruction period should be taken into account in 2.7.5 in the debt repayment schedule</t>
  </si>
  <si>
    <r>
      <t>1.10 Forex Volatility Adjustment</t>
    </r>
    <r>
      <rPr>
        <b/>
        <sz val="10"/>
        <color rgb="FFFF0000"/>
        <rFont val="Calibri"/>
        <family val="2"/>
        <scheme val="minor"/>
      </rPr>
      <t>(To be added as a separate line to tariff)</t>
    </r>
  </si>
  <si>
    <t>The following color codes apply (on the inputs):</t>
  </si>
  <si>
    <t>Currency - select from drop menu the currency of costs and tariffs</t>
  </si>
  <si>
    <t>Metering and termination/service drop</t>
  </si>
  <si>
    <t xml:space="preserve">Distribution assets </t>
  </si>
  <si>
    <t>Annual hours for conversion kWh or mWh</t>
  </si>
  <si>
    <t>Currently not used in the calculations tab as amounts are likely to be insignificant. But normally should be deducted from Revenue Requirement</t>
  </si>
  <si>
    <t>Average kWh tariff</t>
  </si>
  <si>
    <t>Capital grant received and customer contributions</t>
  </si>
  <si>
    <t>Grant/subsidy for capex (e.g., connection subsidy, etc)</t>
  </si>
  <si>
    <t>Grants/subsidies for capex and customer payments for connection</t>
  </si>
  <si>
    <t>Nominal energy generated</t>
  </si>
  <si>
    <t>Energy available</t>
  </si>
  <si>
    <t>Amount of total funds or expenditure in foreign currency</t>
  </si>
  <si>
    <t>Foreign currency loan or expenditure balance</t>
  </si>
  <si>
    <t>USD</t>
  </si>
  <si>
    <t>Demand in kWh</t>
  </si>
  <si>
    <t>kWh per month</t>
  </si>
  <si>
    <t>Consumption per customer</t>
  </si>
  <si>
    <t>Customer avoided cost</t>
  </si>
  <si>
    <t>Total customers connected</t>
  </si>
  <si>
    <t>Year-on-year</t>
  </si>
  <si>
    <t>currency per customer per month</t>
  </si>
  <si>
    <t>The tool output tab is linked to pull the tariffs in the Calculator tab. The developer proposes the tariff structures and therefore this part of the tool will not be locked to allow the developer flexibility to use any combination of tariff structures that they deem appropriate for their own project. The drop down menu gives some examples of tariff structures, such as: kWh/PAYG/Energy-based tariff, Tariffs is a % of some base tariff,Flat rate tariff (Revenues/No. of Customers), Fixed charge+kWh charge tariff, LCOE,Time of Use(ToU) tariff, Power/Load-based tariff, Hybrid, Others to be specified by the user</t>
  </si>
  <si>
    <t>Excess capacity check - compare demand against installed capacity (Net Energy output)</t>
  </si>
  <si>
    <t>Avoided cost to the customer per month</t>
  </si>
  <si>
    <t>Monthly average kWh consumption per customer per month (ACPC)</t>
  </si>
  <si>
    <t># of customers-for the installed capacity</t>
  </si>
  <si>
    <t>Total annual consumption/demand</t>
  </si>
  <si>
    <t xml:space="preserve">Average cost per connection </t>
  </si>
  <si>
    <t>Technical (Grid) losses</t>
  </si>
  <si>
    <t>Plant economic useful life (or remaining License period)</t>
  </si>
  <si>
    <t>Energy net of technical (grid) losses</t>
  </si>
  <si>
    <t>Power net of technical losses</t>
  </si>
  <si>
    <t>The user should enter mini grid project capacity figures as per the cells provided. The capacity factor for a hybrid system and/or multiple sites is calculated in the portfolio tab and one weighted average capacity factor is then used. The user will input the different capacity factors in the Portfolio tab to derive one weighted average capacity factor. The user should choose the units between kWp and MWp from the drop-down menu. The regulator will pre-define the allowed reserve margin, % allowance for technical losses as well as the degradation rate. The user should choose from the drop down menu the economic life equal to the remaining license period</t>
  </si>
  <si>
    <t>These sections allow the user to populate the capital expenditure for each generation technology. The user is allowed to populate more than one technology for a hybrid mini grid. Separate lines are provided for the user to capture the customs duties and VAT respectively. The user should also enter economic useful or remaining license period if different from the regulator pre-assigned useful lives. The tool will automatically calculate the replacement years and the replacement cost as well as the total life-cycle costs. For general shared assets, the cost allocation principles used should be disclosed.</t>
  </si>
  <si>
    <t>The user should enter the amounts for the O&amp;M expenditure line items. Notes (comments within cells) have been provided to guide the aggregation to reduce the levels of details. The user enter the proportion (%) of the total O&amp;M expenses that are escalable year to year for the regulator approval. That escalable proportion should exclude the Power Purchased from 3rd parties. The power purchased from 3rd parties, wheeling charges and the bulk tariff paid for it, should be left blank if all power sold is self-generated because this provision is only made where a mini grid is interconnected to a DisCo like in Nigeria. The bulk purchase tariff paid to the 3rd parties is also a regulated tariff. Planned power purchases should be linked to demand projection and a separate demand projection be provided to the regulator by the applicant</t>
  </si>
  <si>
    <t xml:space="preserve">The user will define their own customer categories in this section. Against each customer category the user should enter: [a] The number of consumers per customer class for the installed capacity; [b] the average consumption for customer category and ensure the total consumption tallies with the system installed capacity; [c] The % of costs attributable to each customer class.  The user should enter this % cost attribution based on historical experience and/or a cost of service (COS) study </t>
  </si>
  <si>
    <t>The folllowing are explanations on how to populate the tool sections. The hyperlinks allows the user to directly jump to the respective section.</t>
  </si>
  <si>
    <t>NGN</t>
  </si>
  <si>
    <t>Wheeling charges (DuOS)</t>
  </si>
  <si>
    <t>Coordinates</t>
  </si>
  <si>
    <t>Date of Submission:</t>
  </si>
  <si>
    <t>BASIC INFORMATION</t>
  </si>
  <si>
    <t>DEVELOPER INFORMATION</t>
  </si>
  <si>
    <t>COMMUNITY INFORMATION</t>
  </si>
  <si>
    <t>Email:</t>
  </si>
  <si>
    <t>Phone:</t>
  </si>
  <si>
    <t>HQ Address:</t>
  </si>
  <si>
    <t>Community name:</t>
  </si>
  <si>
    <t>LGA:</t>
  </si>
  <si>
    <t>State:</t>
  </si>
  <si>
    <t>Latitude:</t>
  </si>
  <si>
    <t>Longtitude:</t>
  </si>
  <si>
    <t>dd/mmm/yyyy</t>
  </si>
  <si>
    <t>Project Developer name:</t>
  </si>
  <si>
    <t>Note: Mini-grid assets financed by grants are excluded from the assets.</t>
  </si>
  <si>
    <t>3.4(a) Depreciation</t>
  </si>
  <si>
    <t>Construction Period-Hydro</t>
  </si>
  <si>
    <t>4. Grid Arrival</t>
  </si>
  <si>
    <t>4.1 Mini-Grid Performance Data</t>
  </si>
  <si>
    <t>Linked to the "Inputs" and "Calculation" tabs</t>
  </si>
  <si>
    <t>WACC (%)</t>
  </si>
  <si>
    <t>Inflation (applicable to O&amp;M) (%)</t>
  </si>
  <si>
    <t>Foreign Exchange Rate Currently</t>
  </si>
  <si>
    <t>Generation assets (remaining value)</t>
  </si>
  <si>
    <t>Distribution assets (remaining value)</t>
  </si>
  <si>
    <t>Return on assets</t>
  </si>
  <si>
    <t>O&amp;M costs</t>
  </si>
  <si>
    <t>Other Revenues Allowed</t>
  </si>
  <si>
    <t>Total revenue requirement</t>
  </si>
  <si>
    <t>Annual electricity sales (in kWh)</t>
  </si>
  <si>
    <t>End-user tariff (per kWh)</t>
  </si>
  <si>
    <t>4.2 Grid arrival inputs</t>
  </si>
  <si>
    <t>To be filled when calculating grid arrival scenarios</t>
  </si>
  <si>
    <t>Grid arrival takes place in year…</t>
  </si>
  <si>
    <t>End-user tariff after grid arrival (per kWh)</t>
  </si>
  <si>
    <t>Annual electricity production available for sale (kWh)</t>
  </si>
  <si>
    <t>4.3 Calculation results</t>
  </si>
  <si>
    <t>4.3.1 Option 1: compensation-based</t>
  </si>
  <si>
    <t>Configuration upon grid arrival</t>
  </si>
  <si>
    <t>Small Power Producer</t>
  </si>
  <si>
    <t>Small Power Distributor</t>
  </si>
  <si>
    <t>SPP + SPD</t>
  </si>
  <si>
    <t>Abandonment</t>
  </si>
  <si>
    <t>Compensation equals to…</t>
  </si>
  <si>
    <t>Book value of distribution assets + 12 months of revenue</t>
  </si>
  <si>
    <t>Book value of generation assets + 12 months of revenue</t>
  </si>
  <si>
    <t>12 months of revenue</t>
  </si>
  <si>
    <t>Book value of ALL assets + 12 months of revenue</t>
  </si>
  <si>
    <t>Value of assets transferred</t>
  </si>
  <si>
    <t>Business value (estimated as 12 months of revenue)*</t>
  </si>
  <si>
    <t>Total compensation to be paid</t>
  </si>
  <si>
    <t>* 12 months of revenue is considered to be good practice, and it's used in some regulations. Other amounts might be used if required.</t>
  </si>
  <si>
    <t>4.3.2 Option 2: tariff-based</t>
  </si>
  <si>
    <t>SPP + SPD*</t>
  </si>
  <si>
    <t>Updated Revenue Requirement (RR) characteristics</t>
  </si>
  <si>
    <t>Lower RR: lower OPEX, depreciation and return</t>
  </si>
  <si>
    <t>Almost similar RR, except for Diesel expenses</t>
  </si>
  <si>
    <t>not applicable</t>
  </si>
  <si>
    <t>Updated revenue requirement (USD)</t>
  </si>
  <si>
    <t>End-user sales (kWh)</t>
  </si>
  <si>
    <t>End-user tariff (USD/kWh)</t>
  </si>
  <si>
    <t>Bulk purchases (kWh)</t>
  </si>
  <si>
    <t>Bulk purchase tariff (USD/kWh)</t>
  </si>
  <si>
    <t>Feed in Tariff Sales (kWh)</t>
  </si>
  <si>
    <t>Feed in Tariff (USD/kWh)</t>
  </si>
  <si>
    <t>* Under this option, locally generated energy should first go to end-customers. An 80% factor is applied to account for potential losses. Bulk purchases are calculated to supplement whatever is needed.</t>
  </si>
  <si>
    <t>Updated Revenue Requirement estimator</t>
  </si>
  <si>
    <t>Other allowed revenue</t>
  </si>
  <si>
    <t>Updated OPEX (% vs original OPEX)*</t>
  </si>
  <si>
    <t xml:space="preserve">Updated OPEX  </t>
  </si>
  <si>
    <t>Total Updated Revenue Requirement</t>
  </si>
  <si>
    <t>* to be negotiated with the mini-grid developer, based on actual O&amp;M expenses and scenario chosen</t>
  </si>
  <si>
    <t>Price elasticity estimator</t>
  </si>
  <si>
    <t>Tariff before grid arrival</t>
  </si>
  <si>
    <t>Tariff after grid arrival</t>
  </si>
  <si>
    <t>Demand before grid arrival (kWh)</t>
  </si>
  <si>
    <t xml:space="preserve">% of elastic demand (elasticity = 1) before grid arrival * </t>
  </si>
  <si>
    <t>% of inelastic demand (elasticity = 0) before grid arrival</t>
  </si>
  <si>
    <t>Elastic demand after grid arrival (kWh)</t>
  </si>
  <si>
    <t>Ineslastic demand after grid arrival (kWh)</t>
  </si>
  <si>
    <t>Total demand after grid arrival (kWh)</t>
  </si>
  <si>
    <t>* to be negotiated with the mini-grid developer, based on actual mini-grid demand data and customer characteristics</t>
  </si>
  <si>
    <t>This section is linked to the "inputs" and "calculation" tabs of the tool. It collects data on how the revenue requirement evolves over time as well as on the remaining asset value. This information is then used to calculate the applicable compensation in section 4.3</t>
  </si>
  <si>
    <t>This section allows users to provide details on the grid arrival scenario to be considered. These details include 1) the year in which the grid arrives, 2) the tariff that end-users will pay from that moment on and 3) the annual electricity available for sale from the local generation unit (that is, the total generation capacity at local level).</t>
  </si>
  <si>
    <t>This section presents the results of the grid arrival calculation. It provides two different options: (i) a compensation-based solution, in which mini-grid operators would get a one-off payment, and (ii) a tariff-based solution, in which mini-grid operators secure their profitability by adjusting the feed-in-tariff and the bulk purchase tariff to/from the main grid.</t>
  </si>
  <si>
    <t>4.3.1 Option 1: Compensation based</t>
  </si>
  <si>
    <t>This option has been the most used so far in grid arrival regulations, focusing on compensation to mini-grid operators as the main mechanism to mitigate grid arrival risks. 
Under this approach, all of the four configurations presented in the table under 4.3.1 are  available, with the regulation defining compensation mechanisms for each of them. Then, mini-grid developers and main grid distribution companies (DisCos) are allowed to negotiate which option is preferred. A key aspect of this approach is that room for negotiations should always be backed by a safe, strictly defined option that mini-grid developers can choose in case of no agreement. In practice, such option is typically the “abandonment” one, given that compensation is defined and there is no need to negotiate any tariffs. 
Based on this general principle, the table in Section 4.3.1 presents the compensation that would need to be paid under the different configurations.</t>
  </si>
  <si>
    <t>4.3.2 Option 2: Tariffs-based</t>
  </si>
  <si>
    <t>This option has not yet been used in many grid arrival regulations. 
In this case, compensation to mini-grid developers upon grid arrival is paid over time, by adjusting electricity tariffs between the now interconnected mini-grid and the Distribution Company. Under this approach, the Feed-in- Tariff or the Bulk Purchase Tariff can be calculated so that the mini-grid company still recovers the allowed revenue requirement every year. Based on how end-customer demand evolves, those tariffs can be adjusted periodically. 
Based on this logic, the table in Section 4.3.2 presents the resulting tariff scenarios under the different configurations.</t>
  </si>
  <si>
    <t>Final Version: 08 January 2024 (v6.1.0+101224)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</si>
</sst>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_(* \(#,##0.00\);_(* &quot;-&quot;??_);_(@_)"/>
    <numFmt numFmtId="164" formatCode="_-* #,##0.00_-;\-* #,##0.00_-;_-* &quot;-&quot;??_-;_-@_-"/>
    <numFmt numFmtId="165" formatCode="#,##0_ ;[Red]\-#,##0\ "/>
    <numFmt numFmtId="166" formatCode="[$$-45C]#,##0;[Red]\-[$$-45C]#,##0"/>
    <numFmt numFmtId="167" formatCode="#,##0.0_ ;[Red]\-#,##0.0\ "/>
    <numFmt numFmtId="168" formatCode="[$$-45C]#,##0.0;[Red]\-[$$-45C]#,##0.0"/>
    <numFmt numFmtId="169" formatCode="[$$-45C]#,##0.00;[Red]\-[$$-45C]#,##0.00"/>
    <numFmt numFmtId="170" formatCode="0.0%"/>
    <numFmt numFmtId="171" formatCode="#,##0.00_ ;[Red]\-#,##0.00\ "/>
    <numFmt numFmtId="172" formatCode="[$KES]\ #,##0.00"/>
    <numFmt numFmtId="173" formatCode="#,##0.000_ ;[Red]\-#,##0.000\ "/>
    <numFmt numFmtId="174" formatCode="&quot;R&quot;#,##0.0000;[Red]\-&quot;R&quot;#,##0.0000"/>
    <numFmt numFmtId="175" formatCode="[$$-409]#,##0.00"/>
    <numFmt numFmtId="176" formatCode="[$$-409]#,##0"/>
    <numFmt numFmtId="177" formatCode="_-[$USD]\ * #,##0_-;\-[$USD]\ * #,##0_-;_-[$USD]\ * &quot;-&quot;_-;_-@_-"/>
    <numFmt numFmtId="178" formatCode="[$USD]\ #,##0;\-[$USD]\ #,##0"/>
    <numFmt numFmtId="179" formatCode="_-[$USD]\ * #,##0.00_-;\-[$USD]\ * #,##0.00_-;_-[$USD]\ * &quot;-&quot;_-;_-@_-"/>
    <numFmt numFmtId="180" formatCode="_-* #,##0_-;\-* #,##0_-;_-* &quot;-&quot;??_-;_-@_-"/>
    <numFmt numFmtId="181" formatCode="_-[$USD]\ * #,##0.0000_-;\-[$USD]\ * #,##0.0000_-;_-[$USD]\ * &quot;-&quot;_-;_-@_-"/>
    <numFmt numFmtId="182" formatCode="_-[$USD]\ * #,##0.00_-;\-[$USD]\ * #,##0.00_-;_-[$USD]\ * &quot;-&quot;??_-;_-@_-"/>
    <numFmt numFmtId="183" formatCode="_-[$USD]\ * #,##0_-;\-[$USD]\ * #,##0_-;_-[$USD]\ * &quot;-&quot;??_-;_-@_-"/>
  </numFmts>
  <fonts count="60"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8"/>
      <name val="Calibri"/>
      <family val="2"/>
      <scheme val="minor"/>
    </font>
    <font>
      <sz val="10"/>
      <color theme="1"/>
      <name val="Calibri"/>
      <family val="2"/>
      <scheme val="minor"/>
    </font>
    <font>
      <b/>
      <sz val="12"/>
      <name val="Calibri Light"/>
      <family val="2"/>
      <scheme val="major"/>
    </font>
    <font>
      <b/>
      <sz val="10"/>
      <color theme="1"/>
      <name val="Calibri"/>
      <family val="2"/>
      <scheme val="minor"/>
    </font>
    <font>
      <sz val="10"/>
      <color rgb="FF3F3F76"/>
      <name val="Calibri"/>
      <family val="2"/>
      <scheme val="minor"/>
    </font>
    <font>
      <b/>
      <sz val="10"/>
      <color rgb="FFFA7D00"/>
      <name val="Calibri"/>
      <family val="2"/>
      <scheme val="minor"/>
    </font>
    <font>
      <b/>
      <sz val="14"/>
      <color theme="1"/>
      <name val="Calibri Light"/>
      <family val="2"/>
      <scheme val="major"/>
    </font>
    <font>
      <sz val="11"/>
      <color theme="1"/>
      <name val="Calibri Light"/>
      <family val="2"/>
      <scheme val="major"/>
    </font>
    <font>
      <sz val="11"/>
      <name val="Calibri Light"/>
      <family val="2"/>
      <scheme val="major"/>
    </font>
    <font>
      <b/>
      <sz val="10"/>
      <name val="Calibri Light"/>
      <family val="2"/>
      <scheme val="major"/>
    </font>
    <font>
      <sz val="11"/>
      <name val="Calibri"/>
      <family val="2"/>
      <scheme val="minor"/>
    </font>
    <font>
      <b/>
      <sz val="11"/>
      <name val="Calibri"/>
      <family val="2"/>
      <scheme val="minor"/>
    </font>
    <font>
      <b/>
      <sz val="12"/>
      <name val="Calibri"/>
      <family val="2"/>
      <scheme val="minor"/>
    </font>
    <font>
      <b/>
      <sz val="10"/>
      <name val="Calibri"/>
      <family val="2"/>
      <scheme val="minor"/>
    </font>
    <font>
      <b/>
      <sz val="11"/>
      <color theme="0"/>
      <name val="Calibri"/>
      <family val="2"/>
      <scheme val="minor"/>
    </font>
    <font>
      <sz val="10"/>
      <name val="Calibri"/>
      <family val="2"/>
      <scheme val="minor"/>
    </font>
    <font>
      <b/>
      <sz val="10"/>
      <color theme="0"/>
      <name val="Calibri"/>
      <family val="2"/>
      <scheme val="minor"/>
    </font>
    <font>
      <sz val="10"/>
      <name val="Calibri Light"/>
      <family val="2"/>
      <scheme val="major"/>
    </font>
    <font>
      <sz val="10"/>
      <color rgb="FFFF0000"/>
      <name val="Calibri"/>
      <family val="2"/>
      <scheme val="minor"/>
    </font>
    <font>
      <sz val="10"/>
      <color theme="1"/>
      <name val="Calibri Light"/>
      <family val="2"/>
      <scheme val="major"/>
    </font>
    <font>
      <i/>
      <sz val="10"/>
      <color rgb="FFFF0000"/>
      <name val="Calibri"/>
      <family val="2"/>
      <scheme val="minor"/>
    </font>
    <font>
      <b/>
      <sz val="11"/>
      <name val="Calibri Light"/>
      <family val="2"/>
      <scheme val="major"/>
    </font>
    <font>
      <sz val="11"/>
      <color rgb="FF006100"/>
      <name val="Calibri"/>
      <family val="2"/>
      <scheme val="minor"/>
    </font>
    <font>
      <sz val="10"/>
      <color rgb="FF006100"/>
      <name val="Calibri"/>
      <family val="2"/>
      <scheme val="minor"/>
    </font>
    <font>
      <i/>
      <sz val="10"/>
      <name val="Calibri"/>
      <family val="2"/>
      <scheme val="minor"/>
    </font>
    <font>
      <b/>
      <sz val="10"/>
      <color rgb="FFFF0000"/>
      <name val="Calibri"/>
      <family val="2"/>
      <scheme val="minor"/>
    </font>
    <font>
      <sz val="10"/>
      <color rgb="FFFA7D00"/>
      <name val="Calibri"/>
      <family val="2"/>
      <scheme val="minor"/>
    </font>
    <font>
      <b/>
      <i/>
      <sz val="10"/>
      <color theme="1"/>
      <name val="Calibri"/>
      <family val="2"/>
      <scheme val="minor"/>
    </font>
    <font>
      <b/>
      <i/>
      <sz val="10"/>
      <color rgb="FF7030A0"/>
      <name val="Calibri"/>
      <family val="2"/>
      <scheme val="minor"/>
    </font>
    <font>
      <b/>
      <sz val="14"/>
      <color theme="1"/>
      <name val="Calibri"/>
      <family val="2"/>
      <scheme val="minor"/>
    </font>
    <font>
      <b/>
      <u/>
      <sz val="10"/>
      <color theme="1"/>
      <name val="Calibri"/>
      <family val="2"/>
      <scheme val="minor"/>
    </font>
    <font>
      <sz val="11"/>
      <color rgb="FFFA7D00"/>
      <name val="Calibri"/>
      <family val="2"/>
      <scheme val="minor"/>
    </font>
    <font>
      <u/>
      <sz val="11"/>
      <color theme="1"/>
      <name val="Calibri"/>
      <family val="2"/>
      <scheme val="minor"/>
    </font>
    <font>
      <u/>
      <sz val="11"/>
      <color theme="10"/>
      <name val="Calibri"/>
      <family val="2"/>
      <scheme val="minor"/>
    </font>
    <font>
      <sz val="7"/>
      <color theme="1"/>
      <name val="Times New Roman"/>
      <family val="1"/>
    </font>
    <font>
      <b/>
      <u/>
      <sz val="11"/>
      <color theme="10"/>
      <name val="Calibri"/>
      <family val="2"/>
      <scheme val="minor"/>
    </font>
    <font>
      <b/>
      <sz val="9"/>
      <color rgb="FFFA7D00"/>
      <name val="Calibri"/>
      <family val="2"/>
      <scheme val="minor"/>
    </font>
    <font>
      <b/>
      <sz val="8"/>
      <color theme="1"/>
      <name val="Calibri"/>
      <family val="2"/>
      <scheme val="minor"/>
    </font>
    <font>
      <sz val="8"/>
      <color theme="1"/>
      <name val="Calibri"/>
      <family val="2"/>
      <scheme val="minor"/>
    </font>
    <font>
      <b/>
      <i/>
      <sz val="11"/>
      <color theme="1"/>
      <name val="Calibri"/>
      <family val="2"/>
      <scheme val="minor"/>
    </font>
    <font>
      <b/>
      <sz val="12"/>
      <color theme="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11"/>
      <color theme="1"/>
      <name val="Calibri"/>
      <family val="2"/>
      <scheme val="minor"/>
    </font>
    <font>
      <sz val="9"/>
      <color rgb="FFFA7D00"/>
      <name val="Calibri"/>
      <family val="2"/>
      <scheme val="minor"/>
    </font>
    <font>
      <i/>
      <sz val="9"/>
      <name val="Calibri"/>
      <family val="2"/>
      <scheme val="minor"/>
    </font>
    <font>
      <sz val="9"/>
      <color rgb="FFFF0000"/>
      <name val="Calibri"/>
      <family val="2"/>
      <scheme val="minor"/>
    </font>
    <font>
      <b/>
      <sz val="9"/>
      <color theme="5" tint="-0.249977111117893"/>
      <name val="Calibri"/>
      <family val="2"/>
      <scheme val="minor"/>
    </font>
    <font>
      <b/>
      <sz val="9"/>
      <name val="Calibri"/>
      <family val="2"/>
      <scheme val="minor"/>
    </font>
    <font>
      <sz val="9"/>
      <color rgb="FF3F3F76"/>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rgb="FFFFFFCC"/>
      </patternFill>
    </fill>
    <fill>
      <patternFill patternType="solid">
        <fgColor rgb="FFC6EFCE"/>
      </patternFill>
    </fill>
    <fill>
      <patternFill patternType="solid">
        <fgColor rgb="FFFFFFCC"/>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rgb="FF00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tint="-9.9978637043366805E-2"/>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style="thin">
        <color indexed="64"/>
      </right>
      <top/>
      <bottom style="thin">
        <color indexed="64"/>
      </bottom>
      <diagonal/>
    </border>
    <border>
      <left style="thin">
        <color rgb="FF7F7F7F"/>
      </left>
      <right style="thin">
        <color rgb="FF7F7F7F"/>
      </right>
      <top style="thin">
        <color indexed="64"/>
      </top>
      <bottom style="double">
        <color indexed="64"/>
      </bottom>
      <diagonal/>
    </border>
    <border>
      <left style="thin">
        <color rgb="FF7F7F7F"/>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rgb="FFB2B2B2"/>
      </bottom>
      <diagonal/>
    </border>
    <border>
      <left style="thin">
        <color rgb="FFB2B2B2"/>
      </left>
      <right style="thin">
        <color rgb="FFB2B2B2"/>
      </right>
      <top style="thin">
        <color rgb="FFB2B2B2"/>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double">
        <color rgb="FFFF8001"/>
      </bottom>
      <diagonal/>
    </border>
    <border>
      <left style="thin">
        <color rgb="FF7F7F7F"/>
      </left>
      <right/>
      <top style="thin">
        <color rgb="FF7F7F7F"/>
      </top>
      <bottom style="thin">
        <color rgb="FF7F7F7F"/>
      </bottom>
      <diagonal/>
    </border>
    <border>
      <left style="thin">
        <color indexed="64"/>
      </left>
      <right style="thin">
        <color indexed="64"/>
      </right>
      <top/>
      <bottom style="double">
        <color rgb="FFFF8001"/>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6" fillId="0" borderId="0" applyFont="0" applyFill="0" applyBorder="0" applyAlignment="0" applyProtection="0"/>
    <xf numFmtId="0" fontId="7" fillId="3" borderId="1" applyNumberFormat="0" applyAlignment="0" applyProtection="0"/>
    <xf numFmtId="0" fontId="8" fillId="4" borderId="1" applyNumberFormat="0" applyAlignment="0" applyProtection="0"/>
    <xf numFmtId="0" fontId="23" fillId="8" borderId="10" applyNumberFormat="0" applyAlignment="0" applyProtection="0"/>
    <xf numFmtId="0" fontId="6" fillId="9" borderId="11" applyNumberFormat="0" applyFont="0" applyAlignment="0" applyProtection="0"/>
    <xf numFmtId="0" fontId="31" fillId="10" borderId="0" applyNumberFormat="0" applyBorder="0" applyAlignment="0" applyProtection="0"/>
    <xf numFmtId="0" fontId="40" fillId="0" borderId="40" applyNumberFormat="0" applyFill="0" applyAlignment="0" applyProtection="0"/>
    <xf numFmtId="0" fontId="42" fillId="0" borderId="0" applyNumberFormat="0" applyFill="0" applyBorder="0" applyAlignment="0" applyProtection="0"/>
    <xf numFmtId="164" fontId="6" fillId="0" borderId="0" applyFont="0" applyFill="0" applyBorder="0" applyAlignment="0" applyProtection="0"/>
  </cellStyleXfs>
  <cellXfs count="653">
    <xf numFmtId="0" fontId="0" fillId="0" borderId="0" xfId="0"/>
    <xf numFmtId="165" fontId="0" fillId="0" borderId="0" xfId="0" applyNumberFormat="1"/>
    <xf numFmtId="165" fontId="1" fillId="0" borderId="0" xfId="0" applyNumberFormat="1" applyFont="1"/>
    <xf numFmtId="0" fontId="10" fillId="0" borderId="0" xfId="0" applyFont="1"/>
    <xf numFmtId="165" fontId="13" fillId="3" borderId="1" xfId="2" applyNumberFormat="1" applyFont="1" applyAlignment="1" applyProtection="1">
      <alignment horizontal="center"/>
      <protection locked="0"/>
    </xf>
    <xf numFmtId="0" fontId="10" fillId="0" borderId="3" xfId="0" applyFont="1" applyBorder="1" applyAlignment="1" applyProtection="1">
      <alignment horizontal="center"/>
      <protection locked="0"/>
    </xf>
    <xf numFmtId="170" fontId="13" fillId="3" borderId="1" xfId="2" applyNumberFormat="1" applyFont="1" applyAlignment="1" applyProtection="1">
      <alignment horizontal="center"/>
      <protection locked="0"/>
    </xf>
    <xf numFmtId="9" fontId="13" fillId="3" borderId="1" xfId="2" applyNumberFormat="1" applyFont="1" applyAlignment="1" applyProtection="1">
      <alignment horizontal="center"/>
      <protection locked="0"/>
    </xf>
    <xf numFmtId="165" fontId="13" fillId="3" borderId="1" xfId="2" applyNumberFormat="1" applyFont="1" applyAlignment="1" applyProtection="1">
      <alignment horizontal="center"/>
    </xf>
    <xf numFmtId="165" fontId="13" fillId="3" borderId="5" xfId="2" applyNumberFormat="1" applyFont="1" applyBorder="1" applyAlignment="1" applyProtection="1">
      <alignment horizontal="center"/>
      <protection locked="0"/>
    </xf>
    <xf numFmtId="10" fontId="13" fillId="3" borderId="3" xfId="2" applyNumberFormat="1" applyFont="1" applyBorder="1" applyAlignment="1" applyProtection="1">
      <alignment horizontal="center"/>
      <protection locked="0"/>
    </xf>
    <xf numFmtId="165" fontId="10" fillId="0" borderId="0" xfId="0" applyNumberFormat="1" applyFont="1"/>
    <xf numFmtId="165" fontId="10" fillId="0" borderId="0" xfId="0" applyNumberFormat="1" applyFont="1" applyAlignment="1">
      <alignment horizontal="center"/>
    </xf>
    <xf numFmtId="165" fontId="27" fillId="0" borderId="0" xfId="0" applyNumberFormat="1" applyFont="1"/>
    <xf numFmtId="165" fontId="10" fillId="0" borderId="0" xfId="0" applyNumberFormat="1" applyFont="1" applyAlignment="1">
      <alignment horizontal="right"/>
    </xf>
    <xf numFmtId="0" fontId="0" fillId="0" borderId="0" xfId="0" applyAlignment="1">
      <alignment vertical="center"/>
    </xf>
    <xf numFmtId="0" fontId="0" fillId="0" borderId="0" xfId="0" applyAlignment="1">
      <alignment wrapText="1"/>
    </xf>
    <xf numFmtId="0" fontId="10" fillId="0" borderId="0" xfId="0" applyFont="1" applyAlignment="1">
      <alignment wrapText="1"/>
    </xf>
    <xf numFmtId="0" fontId="12" fillId="0" borderId="0" xfId="0" applyFont="1"/>
    <xf numFmtId="0" fontId="13" fillId="3" borderId="41" xfId="2" applyFont="1" applyBorder="1" applyAlignment="1">
      <alignment horizontal="left" vertical="top"/>
    </xf>
    <xf numFmtId="0" fontId="14" fillId="4" borderId="41" xfId="3" applyFont="1" applyBorder="1" applyAlignment="1">
      <alignment horizontal="left" vertical="top"/>
    </xf>
    <xf numFmtId="0" fontId="35" fillId="0" borderId="40" xfId="7" applyFont="1" applyAlignment="1">
      <alignment horizontal="left" vertical="top"/>
    </xf>
    <xf numFmtId="0" fontId="2" fillId="0" borderId="0" xfId="0" applyFont="1"/>
    <xf numFmtId="0" fontId="2" fillId="18" borderId="0" xfId="0" applyFont="1" applyFill="1"/>
    <xf numFmtId="0" fontId="44" fillId="18" borderId="0" xfId="8" applyFont="1" applyFill="1" applyBorder="1" applyAlignment="1">
      <alignment wrapText="1"/>
    </xf>
    <xf numFmtId="0" fontId="2" fillId="17" borderId="0" xfId="0" applyFont="1" applyFill="1"/>
    <xf numFmtId="0" fontId="44" fillId="17" borderId="0" xfId="8" applyFont="1" applyFill="1" applyBorder="1" applyAlignment="1">
      <alignment wrapText="1"/>
    </xf>
    <xf numFmtId="0" fontId="2" fillId="0" borderId="3" xfId="0" applyFont="1" applyBorder="1" applyAlignment="1">
      <alignment wrapText="1"/>
    </xf>
    <xf numFmtId="0" fontId="2" fillId="19" borderId="0" xfId="0" applyFont="1" applyFill="1"/>
    <xf numFmtId="0" fontId="44" fillId="19" borderId="0" xfId="8" applyFont="1" applyFill="1" applyBorder="1" applyAlignment="1">
      <alignment wrapText="1"/>
    </xf>
    <xf numFmtId="0" fontId="0" fillId="0" borderId="0" xfId="0" applyAlignment="1">
      <alignment vertical="center" wrapText="1"/>
    </xf>
    <xf numFmtId="0" fontId="2" fillId="0" borderId="3" xfId="0" applyFont="1" applyBorder="1" applyAlignment="1">
      <alignment vertical="center"/>
    </xf>
    <xf numFmtId="0" fontId="44" fillId="18" borderId="0" xfId="8" applyFont="1" applyFill="1" applyBorder="1" applyAlignment="1">
      <alignment vertical="center" wrapText="1"/>
    </xf>
    <xf numFmtId="3" fontId="42" fillId="0" borderId="0" xfId="8" applyNumberFormat="1" applyBorder="1" applyAlignment="1">
      <alignment vertical="center" wrapText="1"/>
    </xf>
    <xf numFmtId="0" fontId="42" fillId="0" borderId="0" xfId="8" applyBorder="1" applyAlignment="1">
      <alignment vertical="center" wrapText="1"/>
    </xf>
    <xf numFmtId="0" fontId="44" fillId="19" borderId="0" xfId="8" applyFont="1" applyFill="1" applyBorder="1" applyAlignment="1">
      <alignment vertical="center" wrapText="1"/>
    </xf>
    <xf numFmtId="0" fontId="44" fillId="17" borderId="0" xfId="8" applyFont="1" applyFill="1" applyBorder="1" applyAlignment="1">
      <alignment vertical="center" wrapText="1"/>
    </xf>
    <xf numFmtId="165" fontId="27" fillId="0" borderId="0" xfId="0" applyNumberFormat="1" applyFont="1" applyAlignment="1">
      <alignment horizontal="center"/>
    </xf>
    <xf numFmtId="165" fontId="24" fillId="0" borderId="0" xfId="0" applyNumberFormat="1" applyFont="1" applyAlignment="1">
      <alignment horizontal="center"/>
    </xf>
    <xf numFmtId="165" fontId="10" fillId="0" borderId="6" xfId="0" applyNumberFormat="1" applyFont="1" applyBorder="1"/>
    <xf numFmtId="165" fontId="10" fillId="0" borderId="12" xfId="0" applyNumberFormat="1" applyFont="1" applyBorder="1"/>
    <xf numFmtId="171" fontId="13" fillId="3" borderId="1" xfId="2" applyNumberFormat="1" applyFont="1" applyAlignment="1" applyProtection="1">
      <alignment horizontal="center"/>
      <protection locked="0"/>
    </xf>
    <xf numFmtId="10" fontId="13" fillId="3" borderId="1" xfId="2" applyNumberFormat="1" applyFont="1" applyAlignment="1" applyProtection="1">
      <alignment horizontal="center"/>
      <protection locked="0"/>
    </xf>
    <xf numFmtId="0" fontId="15" fillId="0" borderId="0" xfId="0" applyFont="1" applyProtection="1">
      <protection locked="0"/>
    </xf>
    <xf numFmtId="165" fontId="1" fillId="0" borderId="0" xfId="0" applyNumberFormat="1"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3" fontId="11" fillId="5" borderId="0" xfId="0" applyNumberFormat="1" applyFont="1" applyFill="1" applyAlignment="1" applyProtection="1">
      <alignment horizontal="left"/>
      <protection locked="0"/>
    </xf>
    <xf numFmtId="0" fontId="16" fillId="0" borderId="0" xfId="0" applyFont="1" applyProtection="1">
      <protection locked="0"/>
    </xf>
    <xf numFmtId="165" fontId="16" fillId="0" borderId="0" xfId="0" applyNumberFormat="1" applyFont="1" applyProtection="1">
      <protection locked="0"/>
    </xf>
    <xf numFmtId="165" fontId="16" fillId="0" borderId="0" xfId="0" applyNumberFormat="1" applyFont="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165" fontId="2" fillId="0" borderId="0" xfId="0" applyNumberFormat="1" applyFont="1" applyAlignment="1" applyProtection="1">
      <alignment horizontal="center"/>
      <protection locked="0"/>
    </xf>
    <xf numFmtId="0" fontId="10" fillId="0" borderId="3" xfId="0" applyFont="1" applyBorder="1" applyProtection="1">
      <protection locked="0"/>
    </xf>
    <xf numFmtId="165" fontId="0" fillId="0" borderId="0" xfId="0" applyNumberFormat="1" applyAlignment="1" applyProtection="1">
      <alignment horizontal="center"/>
      <protection locked="0"/>
    </xf>
    <xf numFmtId="165" fontId="0" fillId="0" borderId="0" xfId="0" applyNumberFormat="1" applyProtection="1">
      <protection locked="0"/>
    </xf>
    <xf numFmtId="0" fontId="10" fillId="6" borderId="3" xfId="0" applyFont="1" applyFill="1" applyBorder="1" applyAlignment="1" applyProtection="1">
      <alignment horizontal="center"/>
      <protection locked="0"/>
    </xf>
    <xf numFmtId="165" fontId="10" fillId="0" borderId="0" xfId="0" applyNumberFormat="1" applyFont="1" applyAlignment="1" applyProtection="1">
      <alignment horizontal="right"/>
      <protection locked="0"/>
    </xf>
    <xf numFmtId="165" fontId="10" fillId="0" borderId="0" xfId="0" applyNumberFormat="1" applyFont="1" applyAlignment="1" applyProtection="1">
      <alignment horizontal="center"/>
      <protection locked="0"/>
    </xf>
    <xf numFmtId="165" fontId="10" fillId="0" borderId="0" xfId="0" applyNumberFormat="1" applyFont="1" applyProtection="1">
      <protection locked="0"/>
    </xf>
    <xf numFmtId="3" fontId="21" fillId="5" borderId="0" xfId="0" applyNumberFormat="1" applyFont="1" applyFill="1" applyAlignment="1" applyProtection="1">
      <alignment horizontal="left"/>
      <protection locked="0"/>
    </xf>
    <xf numFmtId="0" fontId="5" fillId="0" borderId="0" xfId="0" applyFont="1" applyProtection="1">
      <protection locked="0"/>
    </xf>
    <xf numFmtId="0" fontId="12" fillId="0" borderId="3" xfId="0" applyFont="1" applyBorder="1" applyAlignment="1" applyProtection="1">
      <alignment horizontal="center"/>
      <protection locked="0"/>
    </xf>
    <xf numFmtId="0" fontId="12" fillId="0" borderId="0" xfId="0" applyFont="1" applyAlignment="1" applyProtection="1">
      <alignment horizontal="center"/>
      <protection locked="0"/>
    </xf>
    <xf numFmtId="165" fontId="12" fillId="0" borderId="7" xfId="0" applyNumberFormat="1" applyFont="1" applyBorder="1" applyAlignment="1" applyProtection="1">
      <alignment horizontal="centerContinuous"/>
      <protection locked="0"/>
    </xf>
    <xf numFmtId="165" fontId="12" fillId="0" borderId="8" xfId="0" applyNumberFormat="1" applyFont="1" applyBorder="1" applyAlignment="1" applyProtection="1">
      <alignment horizontal="centerContinuous"/>
      <protection locked="0"/>
    </xf>
    <xf numFmtId="165" fontId="12" fillId="0" borderId="9" xfId="0" applyNumberFormat="1" applyFont="1" applyBorder="1" applyAlignment="1" applyProtection="1">
      <alignment horizontal="centerContinuous"/>
      <protection locked="0"/>
    </xf>
    <xf numFmtId="165" fontId="12" fillId="0" borderId="8" xfId="0" applyNumberFormat="1" applyFont="1" applyBorder="1" applyAlignment="1" applyProtection="1">
      <alignment horizontal="left"/>
      <protection locked="0"/>
    </xf>
    <xf numFmtId="165" fontId="12" fillId="0" borderId="0" xfId="0" applyNumberFormat="1" applyFont="1" applyAlignment="1" applyProtection="1">
      <alignment horizontal="center"/>
      <protection locked="0"/>
    </xf>
    <xf numFmtId="3" fontId="26" fillId="7" borderId="7" xfId="0" applyNumberFormat="1" applyFont="1" applyFill="1" applyBorder="1" applyAlignment="1" applyProtection="1">
      <alignment horizontal="center"/>
      <protection locked="0"/>
    </xf>
    <xf numFmtId="3" fontId="26" fillId="7" borderId="8" xfId="0" applyNumberFormat="1" applyFont="1" applyFill="1" applyBorder="1" applyAlignment="1" applyProtection="1">
      <alignment horizontal="center"/>
      <protection locked="0"/>
    </xf>
    <xf numFmtId="3" fontId="26" fillId="7" borderId="9" xfId="0" applyNumberFormat="1" applyFont="1" applyFill="1" applyBorder="1" applyAlignment="1" applyProtection="1">
      <alignment horizontal="center"/>
      <protection locked="0"/>
    </xf>
    <xf numFmtId="0" fontId="27" fillId="0" borderId="0" xfId="0" applyFont="1" applyProtection="1">
      <protection locked="0"/>
    </xf>
    <xf numFmtId="165" fontId="27" fillId="0" borderId="0" xfId="0" applyNumberFormat="1" applyFont="1" applyProtection="1">
      <protection locked="0"/>
    </xf>
    <xf numFmtId="165" fontId="27" fillId="0" borderId="0" xfId="0" applyNumberFormat="1" applyFont="1" applyAlignment="1" applyProtection="1">
      <alignment horizontal="center"/>
      <protection locked="0"/>
    </xf>
    <xf numFmtId="0" fontId="10" fillId="0" borderId="6" xfId="0" applyFont="1" applyBorder="1" applyProtection="1">
      <protection locked="0"/>
    </xf>
    <xf numFmtId="0" fontId="10" fillId="0" borderId="12" xfId="0" applyFont="1" applyBorder="1" applyProtection="1">
      <protection locked="0"/>
    </xf>
    <xf numFmtId="0" fontId="35" fillId="0" borderId="40" xfId="7" applyFont="1" applyAlignment="1" applyProtection="1">
      <alignment horizontal="left" vertical="top"/>
      <protection locked="0"/>
    </xf>
    <xf numFmtId="0" fontId="35" fillId="0" borderId="40" xfId="7" applyFont="1" applyAlignment="1" applyProtection="1">
      <alignment horizontal="center" vertical="top"/>
      <protection locked="0"/>
    </xf>
    <xf numFmtId="165" fontId="10" fillId="0" borderId="12" xfId="0" applyNumberFormat="1" applyFont="1" applyBorder="1" applyProtection="1">
      <protection locked="0"/>
    </xf>
    <xf numFmtId="0" fontId="14" fillId="4" borderId="41" xfId="3" applyFont="1" applyBorder="1" applyAlignment="1" applyProtection="1">
      <alignment horizontal="left" vertical="top"/>
      <protection locked="0"/>
    </xf>
    <xf numFmtId="0" fontId="14" fillId="4" borderId="41" xfId="3" applyFont="1" applyBorder="1" applyAlignment="1" applyProtection="1">
      <alignment horizontal="center" vertical="top"/>
      <protection locked="0"/>
    </xf>
    <xf numFmtId="165" fontId="27" fillId="0" borderId="0" xfId="0" applyNumberFormat="1" applyFont="1" applyAlignment="1" applyProtection="1">
      <alignment horizontal="center" vertical="center"/>
      <protection locked="0"/>
    </xf>
    <xf numFmtId="0" fontId="10" fillId="0" borderId="0" xfId="0" applyFont="1" applyAlignment="1" applyProtection="1">
      <alignment horizontal="center"/>
      <protection locked="0"/>
    </xf>
    <xf numFmtId="3" fontId="30" fillId="5" borderId="0" xfId="0" applyNumberFormat="1" applyFont="1" applyFill="1" applyAlignment="1" applyProtection="1">
      <alignment horizontal="left"/>
      <protection locked="0"/>
    </xf>
    <xf numFmtId="3" fontId="20" fillId="5" borderId="0" xfId="0" applyNumberFormat="1" applyFont="1" applyFill="1" applyAlignment="1" applyProtection="1">
      <alignment horizontal="left"/>
      <protection locked="0"/>
    </xf>
    <xf numFmtId="0" fontId="24" fillId="0" borderId="0" xfId="0" applyFont="1" applyProtection="1">
      <protection locked="0"/>
    </xf>
    <xf numFmtId="165" fontId="24" fillId="0" borderId="0" xfId="0" applyNumberFormat="1" applyFont="1" applyAlignment="1" applyProtection="1">
      <alignment horizontal="center"/>
      <protection locked="0"/>
    </xf>
    <xf numFmtId="0" fontId="0" fillId="0" borderId="3" xfId="0" applyBorder="1" applyProtection="1">
      <protection locked="0"/>
    </xf>
    <xf numFmtId="165" fontId="32" fillId="10" borderId="3" xfId="6" applyNumberFormat="1" applyFont="1" applyBorder="1" applyAlignment="1" applyProtection="1">
      <alignment horizontal="center"/>
      <protection locked="0"/>
    </xf>
    <xf numFmtId="165" fontId="10" fillId="0" borderId="3" xfId="0" applyNumberFormat="1" applyFont="1" applyBorder="1" applyAlignment="1" applyProtection="1">
      <alignment horizontal="center"/>
      <protection locked="0"/>
    </xf>
    <xf numFmtId="3" fontId="18" fillId="5" borderId="0" xfId="0" applyNumberFormat="1" applyFont="1" applyFill="1" applyAlignment="1" applyProtection="1">
      <alignment horizontal="left"/>
      <protection locked="0"/>
    </xf>
    <xf numFmtId="3" fontId="22" fillId="5" borderId="0" xfId="0" applyNumberFormat="1" applyFont="1" applyFill="1" applyAlignment="1" applyProtection="1">
      <alignment horizontal="left"/>
      <protection locked="0"/>
    </xf>
    <xf numFmtId="0" fontId="28" fillId="0" borderId="0" xfId="0" applyFont="1" applyProtection="1">
      <protection locked="0"/>
    </xf>
    <xf numFmtId="165" fontId="28" fillId="0" borderId="0" xfId="0" applyNumberFormat="1" applyFont="1" applyAlignment="1" applyProtection="1">
      <alignment horizontal="center"/>
      <protection locked="0"/>
    </xf>
    <xf numFmtId="165" fontId="28" fillId="0" borderId="0" xfId="0" applyNumberFormat="1" applyFont="1" applyProtection="1">
      <protection locked="0"/>
    </xf>
    <xf numFmtId="0" fontId="14" fillId="4" borderId="3" xfId="3" applyFont="1" applyBorder="1" applyAlignment="1" applyProtection="1">
      <alignment horizontal="center" vertical="top"/>
      <protection locked="0"/>
    </xf>
    <xf numFmtId="165" fontId="10" fillId="0" borderId="0" xfId="0" applyNumberFormat="1" applyFont="1" applyAlignment="1" applyProtection="1">
      <alignment horizontal="left" vertical="center" indent="4"/>
      <protection locked="0"/>
    </xf>
    <xf numFmtId="165" fontId="10" fillId="15" borderId="0" xfId="0" applyNumberFormat="1" applyFont="1" applyFill="1" applyProtection="1">
      <protection locked="0"/>
    </xf>
    <xf numFmtId="165" fontId="12" fillId="15" borderId="0" xfId="0" applyNumberFormat="1" applyFont="1" applyFill="1" applyAlignment="1" applyProtection="1">
      <alignment horizontal="center"/>
      <protection locked="0"/>
    </xf>
    <xf numFmtId="165" fontId="36" fillId="15" borderId="0" xfId="0" applyNumberFormat="1" applyFont="1" applyFill="1" applyAlignment="1" applyProtection="1">
      <alignment horizontal="center"/>
      <protection locked="0"/>
    </xf>
    <xf numFmtId="165" fontId="27" fillId="15" borderId="0" xfId="0" applyNumberFormat="1" applyFont="1" applyFill="1" applyAlignment="1" applyProtection="1">
      <alignment horizontal="center" vertical="center"/>
      <protection locked="0"/>
    </xf>
    <xf numFmtId="9" fontId="10" fillId="15" borderId="0" xfId="1" applyFont="1" applyFill="1" applyAlignment="1" applyProtection="1">
      <alignment horizontal="center"/>
      <protection locked="0"/>
    </xf>
    <xf numFmtId="172" fontId="14" fillId="4" borderId="8" xfId="3" applyNumberFormat="1" applyFont="1" applyBorder="1" applyAlignment="1" applyProtection="1">
      <alignment horizontal="left"/>
      <protection locked="0"/>
    </xf>
    <xf numFmtId="0" fontId="29" fillId="0" borderId="0" xfId="0" applyFont="1" applyProtection="1">
      <protection locked="0"/>
    </xf>
    <xf numFmtId="172" fontId="14" fillId="4" borderId="3" xfId="3" applyNumberFormat="1" applyFont="1" applyBorder="1" applyAlignment="1" applyProtection="1">
      <alignment horizontal="left"/>
      <protection locked="0"/>
    </xf>
    <xf numFmtId="172" fontId="14" fillId="4" borderId="3" xfId="3" applyNumberFormat="1" applyFont="1" applyBorder="1" applyAlignment="1" applyProtection="1">
      <alignment horizontal="center"/>
      <protection locked="0"/>
    </xf>
    <xf numFmtId="165" fontId="10" fillId="0" borderId="0" xfId="0" applyNumberFormat="1" applyFont="1" applyAlignment="1" applyProtection="1">
      <alignment horizontal="left"/>
      <protection locked="0"/>
    </xf>
    <xf numFmtId="172" fontId="14" fillId="4" borderId="0" xfId="3" applyNumberFormat="1" applyFont="1" applyBorder="1" applyAlignment="1" applyProtection="1">
      <alignment horizontal="left"/>
      <protection locked="0"/>
    </xf>
    <xf numFmtId="0" fontId="10" fillId="0" borderId="9" xfId="0" applyFont="1" applyBorder="1" applyAlignment="1" applyProtection="1">
      <alignment horizontal="centerContinuous"/>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0" fillId="5" borderId="0" xfId="0" applyFont="1" applyFill="1" applyProtection="1">
      <protection locked="0"/>
    </xf>
    <xf numFmtId="0" fontId="12" fillId="0" borderId="3" xfId="0" applyFont="1" applyBorder="1" applyProtection="1">
      <protection locked="0"/>
    </xf>
    <xf numFmtId="0" fontId="24" fillId="0" borderId="0" xfId="0" applyFont="1" applyAlignment="1" applyProtection="1">
      <alignment horizontal="center"/>
      <protection locked="0"/>
    </xf>
    <xf numFmtId="171" fontId="14" fillId="4" borderId="29" xfId="3" applyNumberFormat="1" applyFont="1" applyBorder="1" applyAlignment="1" applyProtection="1">
      <alignment horizontal="center"/>
      <protection locked="0"/>
    </xf>
    <xf numFmtId="0" fontId="14" fillId="4" borderId="28" xfId="3" applyFont="1" applyBorder="1" applyProtection="1">
      <protection locked="0"/>
    </xf>
    <xf numFmtId="0" fontId="10" fillId="0" borderId="0" xfId="0" quotePrefix="1" applyFont="1" applyProtection="1">
      <protection locked="0"/>
    </xf>
    <xf numFmtId="0" fontId="24" fillId="0" borderId="0" xfId="0" quotePrefix="1" applyFont="1" applyProtection="1">
      <protection locked="0"/>
    </xf>
    <xf numFmtId="165" fontId="5" fillId="17" borderId="0" xfId="0" applyNumberFormat="1" applyFont="1" applyFill="1" applyAlignment="1" applyProtection="1">
      <alignment horizontal="center"/>
      <protection locked="0"/>
    </xf>
    <xf numFmtId="0" fontId="5" fillId="17" borderId="0" xfId="0" applyFont="1" applyFill="1" applyAlignment="1" applyProtection="1">
      <alignment horizontal="center"/>
      <protection locked="0"/>
    </xf>
    <xf numFmtId="0" fontId="12" fillId="17" borderId="3" xfId="0" applyFont="1" applyFill="1" applyBorder="1" applyAlignment="1" applyProtection="1">
      <alignment horizontal="center"/>
      <protection locked="0"/>
    </xf>
    <xf numFmtId="0" fontId="0" fillId="0" borderId="0" xfId="0" applyAlignment="1" applyProtection="1">
      <alignment horizontal="justify" vertical="center"/>
      <protection locked="0"/>
    </xf>
    <xf numFmtId="9" fontId="0" fillId="0" borderId="0" xfId="1" applyFont="1" applyAlignment="1" applyProtection="1">
      <alignment horizontal="center"/>
      <protection locked="0"/>
    </xf>
    <xf numFmtId="0" fontId="1" fillId="0" borderId="0" xfId="0" applyFont="1" applyAlignment="1" applyProtection="1">
      <alignment wrapText="1"/>
      <protection locked="0"/>
    </xf>
    <xf numFmtId="0" fontId="1" fillId="0" borderId="0" xfId="0" applyFont="1" applyProtection="1">
      <protection locked="0"/>
    </xf>
    <xf numFmtId="165" fontId="14" fillId="4" borderId="1" xfId="3" applyNumberFormat="1" applyFont="1" applyAlignment="1" applyProtection="1">
      <alignment horizontal="center"/>
    </xf>
    <xf numFmtId="165" fontId="14" fillId="4" borderId="4" xfId="3" applyNumberFormat="1" applyFont="1" applyBorder="1" applyAlignment="1" applyProtection="1">
      <alignment horizontal="center"/>
    </xf>
    <xf numFmtId="165" fontId="14" fillId="4" borderId="3" xfId="3" applyNumberFormat="1" applyFont="1" applyBorder="1" applyAlignment="1" applyProtection="1">
      <alignment horizontal="center" vertical="top"/>
    </xf>
    <xf numFmtId="10" fontId="13" fillId="3" borderId="41" xfId="2" applyNumberFormat="1" applyFont="1" applyBorder="1" applyAlignment="1" applyProtection="1">
      <alignment horizontal="center"/>
      <protection locked="0"/>
    </xf>
    <xf numFmtId="165" fontId="13" fillId="3" borderId="1" xfId="2" applyNumberFormat="1" applyFont="1" applyAlignment="1" applyProtection="1">
      <alignment horizontal="left"/>
      <protection locked="0"/>
    </xf>
    <xf numFmtId="9" fontId="14" fillId="4" borderId="3" xfId="1" applyFont="1" applyFill="1" applyBorder="1" applyAlignment="1" applyProtection="1">
      <alignment horizontal="center"/>
    </xf>
    <xf numFmtId="165" fontId="14" fillId="4" borderId="8" xfId="3" applyNumberFormat="1" applyFont="1" applyBorder="1" applyAlignment="1" applyProtection="1">
      <alignment horizontal="center"/>
    </xf>
    <xf numFmtId="10" fontId="35" fillId="0" borderId="42" xfId="7" applyNumberFormat="1" applyFont="1" applyBorder="1" applyAlignment="1" applyProtection="1">
      <alignment horizontal="center" vertical="top"/>
    </xf>
    <xf numFmtId="10" fontId="35" fillId="4" borderId="3" xfId="1" applyNumberFormat="1" applyFont="1" applyFill="1" applyBorder="1" applyAlignment="1" applyProtection="1">
      <alignment horizontal="center"/>
    </xf>
    <xf numFmtId="10" fontId="14" fillId="4" borderId="3" xfId="1" applyNumberFormat="1" applyFont="1" applyFill="1" applyBorder="1" applyAlignment="1" applyProtection="1">
      <alignment horizontal="center"/>
    </xf>
    <xf numFmtId="10" fontId="14" fillId="4" borderId="3" xfId="3" applyNumberFormat="1" applyFont="1" applyBorder="1" applyAlignment="1" applyProtection="1">
      <alignment horizontal="center"/>
    </xf>
    <xf numFmtId="165" fontId="13" fillId="0" borderId="1" xfId="2" applyNumberFormat="1" applyFont="1" applyFill="1" applyAlignment="1" applyProtection="1">
      <alignment horizontal="center"/>
    </xf>
    <xf numFmtId="10" fontId="13" fillId="0" borderId="1" xfId="2" applyNumberFormat="1" applyFont="1" applyFill="1" applyAlignment="1" applyProtection="1">
      <alignment horizontal="center"/>
    </xf>
    <xf numFmtId="10" fontId="14" fillId="4" borderId="3" xfId="3" applyNumberFormat="1" applyFont="1" applyBorder="1" applyAlignment="1" applyProtection="1">
      <alignment horizontal="center" vertical="top"/>
    </xf>
    <xf numFmtId="171" fontId="14" fillId="4" borderId="3" xfId="3" applyNumberFormat="1" applyFont="1" applyBorder="1" applyAlignment="1" applyProtection="1">
      <alignment horizontal="center" vertical="top"/>
    </xf>
    <xf numFmtId="10" fontId="14" fillId="4" borderId="7" xfId="3" applyNumberFormat="1" applyFont="1" applyBorder="1" applyAlignment="1" applyProtection="1">
      <alignment horizontal="center" vertical="top"/>
    </xf>
    <xf numFmtId="0" fontId="14" fillId="4" borderId="41" xfId="3" applyFont="1" applyBorder="1" applyAlignment="1" applyProtection="1">
      <alignment horizontal="center" vertical="top"/>
    </xf>
    <xf numFmtId="171" fontId="35" fillId="0" borderId="40" xfId="7" applyNumberFormat="1" applyFont="1" applyAlignment="1" applyProtection="1">
      <alignment horizontal="center" vertical="top"/>
    </xf>
    <xf numFmtId="171" fontId="14" fillId="4" borderId="41" xfId="3" applyNumberFormat="1" applyFont="1" applyBorder="1" applyAlignment="1" applyProtection="1">
      <alignment horizontal="center" vertical="top"/>
    </xf>
    <xf numFmtId="171" fontId="14" fillId="4" borderId="29" xfId="3" applyNumberFormat="1" applyFont="1" applyBorder="1" applyAlignment="1" applyProtection="1">
      <alignment horizontal="center"/>
    </xf>
    <xf numFmtId="10" fontId="10" fillId="0" borderId="8" xfId="1" applyNumberFormat="1" applyFont="1" applyBorder="1" applyAlignment="1" applyProtection="1">
      <alignment horizontal="center"/>
    </xf>
    <xf numFmtId="10" fontId="10" fillId="0" borderId="8" xfId="1" applyNumberFormat="1" applyFont="1" applyBorder="1" applyProtection="1"/>
    <xf numFmtId="165" fontId="8" fillId="4" borderId="29" xfId="3" applyNumberFormat="1" applyBorder="1" applyProtection="1"/>
    <xf numFmtId="10" fontId="10" fillId="0" borderId="19" xfId="1" applyNumberFormat="1" applyFont="1" applyBorder="1" applyAlignment="1" applyProtection="1">
      <alignment horizontal="center"/>
    </xf>
    <xf numFmtId="10" fontId="10" fillId="0" borderId="0" xfId="1" applyNumberFormat="1" applyFont="1" applyBorder="1" applyAlignment="1" applyProtection="1">
      <alignment horizontal="center"/>
    </xf>
    <xf numFmtId="10" fontId="10" fillId="0" borderId="14" xfId="1" applyNumberFormat="1" applyFont="1" applyBorder="1" applyAlignment="1" applyProtection="1">
      <alignment horizontal="center"/>
    </xf>
    <xf numFmtId="9" fontId="10" fillId="0" borderId="15" xfId="1" applyFont="1" applyBorder="1" applyProtection="1"/>
    <xf numFmtId="165" fontId="32" fillId="10" borderId="7" xfId="6" applyNumberFormat="1" applyFont="1" applyBorder="1" applyAlignment="1" applyProtection="1">
      <alignment horizontal="center"/>
      <protection locked="0"/>
    </xf>
    <xf numFmtId="165" fontId="32" fillId="10" borderId="8" xfId="6" applyNumberFormat="1" applyFont="1" applyBorder="1" applyAlignment="1" applyProtection="1">
      <alignment horizontal="center"/>
      <protection locked="0"/>
    </xf>
    <xf numFmtId="165" fontId="10" fillId="5" borderId="0" xfId="0" applyNumberFormat="1" applyFont="1" applyFill="1" applyProtection="1">
      <protection locked="0"/>
    </xf>
    <xf numFmtId="0" fontId="12" fillId="9" borderId="11" xfId="5" applyFont="1" applyProtection="1">
      <protection locked="0"/>
    </xf>
    <xf numFmtId="0" fontId="0" fillId="0" borderId="0" xfId="0" applyAlignment="1" applyProtection="1">
      <alignment horizontal="left" vertical="center" indent="4"/>
      <protection locked="0"/>
    </xf>
    <xf numFmtId="0" fontId="29" fillId="0" borderId="19" xfId="0" applyFont="1" applyBorder="1" applyProtection="1">
      <protection locked="0"/>
    </xf>
    <xf numFmtId="171" fontId="0" fillId="0" borderId="19" xfId="0" applyNumberFormat="1" applyBorder="1" applyProtection="1">
      <protection locked="0"/>
    </xf>
    <xf numFmtId="171" fontId="0" fillId="0" borderId="33" xfId="0" applyNumberFormat="1" applyBorder="1" applyProtection="1">
      <protection locked="0"/>
    </xf>
    <xf numFmtId="173" fontId="0" fillId="0" borderId="0" xfId="0" applyNumberFormat="1" applyProtection="1">
      <protection locked="0"/>
    </xf>
    <xf numFmtId="171" fontId="29" fillId="0" borderId="14" xfId="0" applyNumberFormat="1" applyFont="1" applyBorder="1" applyProtection="1">
      <protection locked="0"/>
    </xf>
    <xf numFmtId="171" fontId="0" fillId="0" borderId="14" xfId="0" applyNumberFormat="1" applyBorder="1" applyProtection="1">
      <protection locked="0"/>
    </xf>
    <xf numFmtId="171" fontId="0" fillId="0" borderId="15" xfId="0" applyNumberFormat="1" applyBorder="1" applyProtection="1">
      <protection locked="0"/>
    </xf>
    <xf numFmtId="171" fontId="24" fillId="0" borderId="19" xfId="0" quotePrefix="1" applyNumberFormat="1" applyFont="1" applyBorder="1" applyProtection="1">
      <protection locked="0"/>
    </xf>
    <xf numFmtId="171" fontId="24" fillId="0" borderId="33" xfId="0" quotePrefix="1" applyNumberFormat="1" applyFont="1" applyBorder="1" applyProtection="1">
      <protection locked="0"/>
    </xf>
    <xf numFmtId="173" fontId="10" fillId="0" borderId="0" xfId="0" applyNumberFormat="1" applyFont="1" applyProtection="1">
      <protection locked="0"/>
    </xf>
    <xf numFmtId="173" fontId="10" fillId="0" borderId="0" xfId="0" applyNumberFormat="1" applyFont="1" applyAlignment="1" applyProtection="1">
      <alignment horizontal="center"/>
      <protection locked="0"/>
    </xf>
    <xf numFmtId="173" fontId="10" fillId="5" borderId="0" xfId="0" applyNumberFormat="1" applyFont="1" applyFill="1" applyProtection="1">
      <protection locked="0"/>
    </xf>
    <xf numFmtId="171" fontId="24" fillId="0" borderId="14" xfId="0" quotePrefix="1" applyNumberFormat="1" applyFont="1" applyBorder="1" applyProtection="1">
      <protection locked="0"/>
    </xf>
    <xf numFmtId="171" fontId="24" fillId="0" borderId="15" xfId="0" quotePrefix="1" applyNumberFormat="1" applyFont="1" applyBorder="1" applyProtection="1">
      <protection locked="0"/>
    </xf>
    <xf numFmtId="173" fontId="29" fillId="0" borderId="0" xfId="0" applyNumberFormat="1" applyFont="1" applyAlignment="1" applyProtection="1">
      <alignment vertical="center"/>
      <protection locked="0"/>
    </xf>
    <xf numFmtId="165" fontId="12" fillId="0" borderId="3" xfId="0" applyNumberFormat="1" applyFont="1" applyBorder="1" applyProtection="1">
      <protection locked="0"/>
    </xf>
    <xf numFmtId="165" fontId="12" fillId="0" borderId="0" xfId="0" applyNumberFormat="1" applyFont="1" applyProtection="1">
      <protection locked="0"/>
    </xf>
    <xf numFmtId="0" fontId="34" fillId="9" borderId="11" xfId="5" applyFont="1" applyProtection="1">
      <protection locked="0"/>
    </xf>
    <xf numFmtId="0" fontId="2" fillId="0" borderId="0" xfId="0" applyFont="1" applyProtection="1">
      <protection locked="0"/>
    </xf>
    <xf numFmtId="0" fontId="38" fillId="0" borderId="0" xfId="0" applyFont="1" applyProtection="1">
      <protection locked="0"/>
    </xf>
    <xf numFmtId="0" fontId="0" fillId="0" borderId="0" xfId="0" applyAlignment="1" applyProtection="1">
      <alignment vertical="center"/>
      <protection locked="0"/>
    </xf>
    <xf numFmtId="171" fontId="29" fillId="0" borderId="0" xfId="0" applyNumberFormat="1" applyFont="1" applyProtection="1">
      <protection locked="0"/>
    </xf>
    <xf numFmtId="171" fontId="24" fillId="0" borderId="0" xfId="0" quotePrefix="1" applyNumberFormat="1" applyFont="1" applyProtection="1">
      <protection locked="0"/>
    </xf>
    <xf numFmtId="0" fontId="0" fillId="0" borderId="0" xfId="0" applyAlignment="1" applyProtection="1">
      <alignment wrapText="1"/>
      <protection locked="0"/>
    </xf>
    <xf numFmtId="0" fontId="19" fillId="0" borderId="0" xfId="0" applyFont="1" applyProtection="1">
      <protection locked="0"/>
    </xf>
    <xf numFmtId="0" fontId="19" fillId="0" borderId="0" xfId="0" applyFont="1" applyAlignment="1" applyProtection="1">
      <alignment wrapText="1"/>
      <protection locked="0"/>
    </xf>
    <xf numFmtId="171" fontId="1" fillId="0" borderId="0" xfId="0" applyNumberFormat="1" applyFont="1" applyProtection="1">
      <protection locked="0"/>
    </xf>
    <xf numFmtId="0" fontId="41" fillId="0" borderId="0" xfId="0" applyFont="1" applyProtection="1">
      <protection locked="0"/>
    </xf>
    <xf numFmtId="10" fontId="10" fillId="0" borderId="9" xfId="1" applyNumberFormat="1" applyFont="1" applyBorder="1" applyAlignment="1" applyProtection="1"/>
    <xf numFmtId="165" fontId="10" fillId="0" borderId="3" xfId="0" applyNumberFormat="1" applyFont="1" applyBorder="1" applyAlignment="1">
      <alignment horizontal="center"/>
    </xf>
    <xf numFmtId="9" fontId="10" fillId="0" borderId="0" xfId="1" applyFont="1" applyProtection="1">
      <protection locked="0"/>
    </xf>
    <xf numFmtId="165" fontId="35" fillId="0" borderId="42" xfId="7" applyNumberFormat="1" applyFont="1" applyBorder="1" applyAlignment="1" applyProtection="1">
      <alignment horizontal="center" vertical="top"/>
    </xf>
    <xf numFmtId="165" fontId="14" fillId="4" borderId="41" xfId="3" applyNumberFormat="1" applyFont="1" applyBorder="1" applyAlignment="1" applyProtection="1">
      <alignment horizontal="center" vertical="top"/>
    </xf>
    <xf numFmtId="170" fontId="14" fillId="4" borderId="3" xfId="1" applyNumberFormat="1" applyFont="1" applyFill="1" applyBorder="1" applyAlignment="1" applyProtection="1">
      <alignment horizontal="center"/>
    </xf>
    <xf numFmtId="0" fontId="35" fillId="0" borderId="22" xfId="7" applyFont="1" applyFill="1" applyBorder="1" applyAlignment="1" applyProtection="1">
      <alignment horizontal="left" vertical="top"/>
      <protection locked="0"/>
    </xf>
    <xf numFmtId="165" fontId="35" fillId="4" borderId="41" xfId="3" applyNumberFormat="1" applyFont="1" applyBorder="1" applyAlignment="1" applyProtection="1">
      <alignment horizontal="center" vertical="top"/>
    </xf>
    <xf numFmtId="0" fontId="10" fillId="0" borderId="3" xfId="0" applyFont="1" applyBorder="1" applyAlignment="1">
      <alignment horizontal="center"/>
    </xf>
    <xf numFmtId="165" fontId="27" fillId="0" borderId="18" xfId="0" applyNumberFormat="1" applyFont="1" applyBorder="1"/>
    <xf numFmtId="165" fontId="27" fillId="0" borderId="19" xfId="0" applyNumberFormat="1" applyFont="1" applyBorder="1"/>
    <xf numFmtId="165" fontId="27" fillId="0" borderId="12" xfId="0" applyNumberFormat="1" applyFont="1" applyBorder="1"/>
    <xf numFmtId="165" fontId="27" fillId="0" borderId="6" xfId="0" applyNumberFormat="1" applyFont="1" applyBorder="1"/>
    <xf numFmtId="165" fontId="24" fillId="0" borderId="6" xfId="0" applyNumberFormat="1" applyFont="1" applyBorder="1" applyAlignment="1">
      <alignment horizontal="center"/>
    </xf>
    <xf numFmtId="165" fontId="1" fillId="0" borderId="6" xfId="0" applyNumberFormat="1" applyFont="1" applyBorder="1"/>
    <xf numFmtId="165" fontId="1" fillId="0" borderId="12" xfId="0" applyNumberFormat="1" applyFont="1" applyBorder="1"/>
    <xf numFmtId="0" fontId="35" fillId="0" borderId="40" xfId="7" applyFont="1" applyAlignment="1" applyProtection="1">
      <alignment horizontal="center" vertical="top"/>
    </xf>
    <xf numFmtId="172" fontId="14" fillId="4" borderId="8" xfId="3" applyNumberFormat="1" applyFont="1" applyBorder="1" applyAlignment="1" applyProtection="1">
      <alignment horizontal="center"/>
    </xf>
    <xf numFmtId="0" fontId="35" fillId="0" borderId="22" xfId="7" applyFont="1" applyFill="1" applyBorder="1" applyAlignment="1" applyProtection="1">
      <alignment horizontal="center" vertical="top"/>
    </xf>
    <xf numFmtId="172" fontId="14" fillId="4" borderId="0" xfId="3" applyNumberFormat="1" applyFont="1" applyBorder="1" applyAlignment="1" applyProtection="1">
      <alignment horizontal="center"/>
    </xf>
    <xf numFmtId="165" fontId="35" fillId="0" borderId="40" xfId="7" applyNumberFormat="1" applyFont="1" applyAlignment="1" applyProtection="1">
      <alignment horizontal="center" vertical="top"/>
    </xf>
    <xf numFmtId="0" fontId="14" fillId="4" borderId="30" xfId="3" applyFont="1" applyBorder="1" applyAlignment="1" applyProtection="1">
      <alignment horizontal="center"/>
    </xf>
    <xf numFmtId="165" fontId="13" fillId="3" borderId="32" xfId="2" applyNumberFormat="1" applyFont="1" applyBorder="1" applyAlignment="1" applyProtection="1">
      <alignment horizontal="center"/>
      <protection locked="0"/>
    </xf>
    <xf numFmtId="9" fontId="14" fillId="0" borderId="3" xfId="1" applyFont="1" applyFill="1" applyBorder="1" applyAlignment="1" applyProtection="1">
      <alignment horizontal="center"/>
      <protection locked="0"/>
    </xf>
    <xf numFmtId="165" fontId="35" fillId="4" borderId="0" xfId="3" applyNumberFormat="1" applyFont="1" applyBorder="1" applyAlignment="1" applyProtection="1">
      <alignment horizontal="center" vertical="top"/>
      <protection locked="0"/>
    </xf>
    <xf numFmtId="166" fontId="0" fillId="0" borderId="0" xfId="0" applyNumberFormat="1" applyProtection="1">
      <protection locked="0"/>
    </xf>
    <xf numFmtId="165" fontId="27" fillId="0" borderId="0" xfId="0" applyNumberFormat="1" applyFont="1" applyAlignment="1" applyProtection="1">
      <alignment horizontal="center" wrapText="1"/>
      <protection locked="0"/>
    </xf>
    <xf numFmtId="9" fontId="0" fillId="0" borderId="0" xfId="1" applyFont="1" applyFill="1" applyAlignment="1" applyProtection="1">
      <alignment horizontal="center"/>
      <protection locked="0"/>
    </xf>
    <xf numFmtId="166" fontId="1" fillId="0" borderId="0" xfId="0" applyNumberFormat="1" applyFont="1" applyProtection="1">
      <protection locked="0"/>
    </xf>
    <xf numFmtId="9" fontId="0" fillId="0" borderId="0" xfId="0" applyNumberFormat="1" applyProtection="1">
      <protection locked="0"/>
    </xf>
    <xf numFmtId="169" fontId="0" fillId="0" borderId="0" xfId="0" applyNumberFormat="1" applyProtection="1">
      <protection locked="0"/>
    </xf>
    <xf numFmtId="167" fontId="0" fillId="0" borderId="0" xfId="0" applyNumberFormat="1" applyProtection="1">
      <protection locked="0"/>
    </xf>
    <xf numFmtId="168" fontId="1" fillId="0" borderId="0" xfId="0" applyNumberFormat="1" applyFont="1" applyProtection="1">
      <protection locked="0"/>
    </xf>
    <xf numFmtId="165" fontId="13" fillId="3" borderId="31" xfId="2" applyNumberFormat="1" applyFont="1" applyBorder="1" applyAlignment="1" applyProtection="1">
      <alignment horizontal="center"/>
      <protection locked="0"/>
    </xf>
    <xf numFmtId="165" fontId="14" fillId="4" borderId="0" xfId="3" applyNumberFormat="1" applyFont="1" applyBorder="1" applyAlignment="1" applyProtection="1">
      <alignment horizontal="center"/>
    </xf>
    <xf numFmtId="165" fontId="35" fillId="0" borderId="40" xfId="7" applyNumberFormat="1" applyFont="1" applyAlignment="1" applyProtection="1">
      <alignment horizontal="center" vertical="top"/>
      <protection locked="0"/>
    </xf>
    <xf numFmtId="0" fontId="10" fillId="0" borderId="3" xfId="0" applyFont="1" applyBorder="1" applyAlignment="1" applyProtection="1">
      <alignment horizontal="left"/>
      <protection locked="0"/>
    </xf>
    <xf numFmtId="165" fontId="13" fillId="3" borderId="4" xfId="2" applyNumberFormat="1" applyFont="1" applyBorder="1" applyAlignment="1" applyProtection="1">
      <alignment horizontal="center"/>
      <protection locked="0"/>
    </xf>
    <xf numFmtId="10" fontId="13" fillId="3" borderId="44" xfId="2" applyNumberFormat="1" applyFont="1" applyBorder="1" applyAlignment="1" applyProtection="1">
      <alignment horizontal="center"/>
      <protection locked="0"/>
    </xf>
    <xf numFmtId="171" fontId="35" fillId="4" borderId="3" xfId="3" applyNumberFormat="1" applyFont="1" applyBorder="1" applyAlignment="1" applyProtection="1">
      <alignment horizontal="center" vertical="top"/>
    </xf>
    <xf numFmtId="0" fontId="27" fillId="0" borderId="3" xfId="0" applyFont="1" applyBorder="1" applyProtection="1">
      <protection locked="0"/>
    </xf>
    <xf numFmtId="165" fontId="45" fillId="4" borderId="3" xfId="3" applyNumberFormat="1" applyFont="1" applyBorder="1" applyAlignment="1" applyProtection="1">
      <alignment horizontal="center" vertical="top"/>
    </xf>
    <xf numFmtId="165" fontId="24" fillId="4" borderId="3" xfId="3" applyNumberFormat="1" applyFont="1" applyBorder="1" applyAlignment="1" applyProtection="1">
      <alignment horizontal="center" vertical="top"/>
    </xf>
    <xf numFmtId="165" fontId="12" fillId="11" borderId="3" xfId="0" applyNumberFormat="1" applyFont="1" applyFill="1" applyBorder="1"/>
    <xf numFmtId="165" fontId="10" fillId="0" borderId="19" xfId="0" applyNumberFormat="1" applyFont="1" applyBorder="1" applyAlignment="1">
      <alignment horizontal="center"/>
    </xf>
    <xf numFmtId="165" fontId="10" fillId="0" borderId="19" xfId="0" applyNumberFormat="1" applyFont="1" applyBorder="1"/>
    <xf numFmtId="165" fontId="12" fillId="0" borderId="22" xfId="0" applyNumberFormat="1" applyFont="1" applyBorder="1"/>
    <xf numFmtId="165" fontId="10" fillId="0" borderId="14" xfId="0" applyNumberFormat="1" applyFont="1" applyBorder="1" applyAlignment="1">
      <alignment horizontal="center"/>
    </xf>
    <xf numFmtId="165" fontId="10" fillId="0" borderId="14" xfId="0" applyNumberFormat="1" applyFont="1" applyBorder="1"/>
    <xf numFmtId="165" fontId="12" fillId="16" borderId="22" xfId="0" applyNumberFormat="1" applyFont="1" applyFill="1" applyBorder="1"/>
    <xf numFmtId="165" fontId="10" fillId="0" borderId="3" xfId="0" applyNumberFormat="1" applyFont="1" applyBorder="1"/>
    <xf numFmtId="165" fontId="25" fillId="8" borderId="10" xfId="4" applyNumberFormat="1" applyFont="1" applyAlignment="1" applyProtection="1">
      <alignment horizontal="center"/>
    </xf>
    <xf numFmtId="165" fontId="10" fillId="0" borderId="25" xfId="0" applyNumberFormat="1" applyFont="1" applyBorder="1" applyAlignment="1">
      <alignment horizontal="center"/>
    </xf>
    <xf numFmtId="165" fontId="10" fillId="0" borderId="25" xfId="0" applyNumberFormat="1" applyFont="1" applyBorder="1"/>
    <xf numFmtId="165" fontId="24" fillId="6" borderId="8" xfId="0" applyNumberFormat="1" applyFont="1" applyFill="1" applyBorder="1" applyAlignment="1">
      <alignment horizontal="center"/>
    </xf>
    <xf numFmtId="165" fontId="24" fillId="6" borderId="8" xfId="0" applyNumberFormat="1" applyFont="1" applyFill="1" applyBorder="1"/>
    <xf numFmtId="165" fontId="12" fillId="13" borderId="22" xfId="0" applyNumberFormat="1" applyFont="1" applyFill="1" applyBorder="1" applyAlignment="1">
      <alignment horizontal="center"/>
    </xf>
    <xf numFmtId="165" fontId="12" fillId="13" borderId="22" xfId="0" applyNumberFormat="1" applyFont="1" applyFill="1" applyBorder="1"/>
    <xf numFmtId="165" fontId="10" fillId="12" borderId="3" xfId="0" applyNumberFormat="1" applyFont="1" applyFill="1" applyBorder="1" applyAlignment="1">
      <alignment horizontal="right"/>
    </xf>
    <xf numFmtId="173" fontId="0" fillId="12" borderId="8" xfId="0" applyNumberFormat="1" applyFill="1" applyBorder="1"/>
    <xf numFmtId="173" fontId="0" fillId="12" borderId="8" xfId="0" applyNumberFormat="1" applyFill="1" applyBorder="1" applyAlignment="1">
      <alignment horizontal="right"/>
    </xf>
    <xf numFmtId="165" fontId="12" fillId="0" borderId="8" xfId="0" applyNumberFormat="1" applyFont="1" applyBorder="1" applyAlignment="1">
      <alignment horizontal="center"/>
    </xf>
    <xf numFmtId="165" fontId="12" fillId="0" borderId="8" xfId="0" applyNumberFormat="1" applyFont="1" applyBorder="1"/>
    <xf numFmtId="173" fontId="10" fillId="0" borderId="0" xfId="0" applyNumberFormat="1" applyFont="1"/>
    <xf numFmtId="173" fontId="10" fillId="13" borderId="3" xfId="0" applyNumberFormat="1" applyFont="1" applyFill="1" applyBorder="1"/>
    <xf numFmtId="171" fontId="10" fillId="13" borderId="3" xfId="0" applyNumberFormat="1" applyFont="1" applyFill="1" applyBorder="1"/>
    <xf numFmtId="173" fontId="0" fillId="0" borderId="8" xfId="0" applyNumberFormat="1" applyBorder="1"/>
    <xf numFmtId="173" fontId="0" fillId="0" borderId="9" xfId="0" applyNumberFormat="1" applyBorder="1"/>
    <xf numFmtId="173" fontId="0" fillId="0" borderId="0" xfId="0" applyNumberFormat="1"/>
    <xf numFmtId="171" fontId="1" fillId="0" borderId="19" xfId="0" applyNumberFormat="1" applyFont="1" applyBorder="1"/>
    <xf numFmtId="171" fontId="1" fillId="0" borderId="33" xfId="0" applyNumberFormat="1" applyFont="1" applyBorder="1"/>
    <xf numFmtId="173" fontId="1" fillId="0" borderId="14" xfId="0" applyNumberFormat="1" applyFont="1" applyBorder="1"/>
    <xf numFmtId="173" fontId="1" fillId="0" borderId="15" xfId="0" applyNumberFormat="1" applyFont="1" applyBorder="1"/>
    <xf numFmtId="173" fontId="0" fillId="0" borderId="12" xfId="0" applyNumberFormat="1" applyBorder="1"/>
    <xf numFmtId="173" fontId="0" fillId="0" borderId="14" xfId="0" applyNumberFormat="1" applyBorder="1"/>
    <xf numFmtId="173" fontId="0" fillId="0" borderId="15" xfId="0" applyNumberFormat="1" applyBorder="1"/>
    <xf numFmtId="167" fontId="10" fillId="0" borderId="19" xfId="0" applyNumberFormat="1" applyFont="1" applyBorder="1" applyAlignment="1">
      <alignment horizontal="center"/>
    </xf>
    <xf numFmtId="167" fontId="10" fillId="0" borderId="0" xfId="0" applyNumberFormat="1" applyFont="1" applyAlignment="1">
      <alignment horizontal="center"/>
    </xf>
    <xf numFmtId="167" fontId="10" fillId="0" borderId="14" xfId="0" applyNumberFormat="1" applyFont="1" applyBorder="1" applyAlignment="1">
      <alignment horizontal="center"/>
    </xf>
    <xf numFmtId="10" fontId="10" fillId="0" borderId="3" xfId="0" applyNumberFormat="1" applyFont="1" applyBorder="1"/>
    <xf numFmtId="165" fontId="10" fillId="0" borderId="34" xfId="0" applyNumberFormat="1" applyFont="1" applyBorder="1"/>
    <xf numFmtId="165" fontId="10" fillId="0" borderId="8" xfId="0" applyNumberFormat="1" applyFont="1" applyBorder="1"/>
    <xf numFmtId="165" fontId="10" fillId="0" borderId="8" xfId="0" applyNumberFormat="1" applyFont="1" applyBorder="1" applyAlignment="1">
      <alignment horizontal="right"/>
    </xf>
    <xf numFmtId="165" fontId="10" fillId="0" borderId="12" xfId="0" applyNumberFormat="1" applyFont="1" applyBorder="1" applyAlignment="1">
      <alignment horizontal="center"/>
    </xf>
    <xf numFmtId="170" fontId="10" fillId="0" borderId="12" xfId="0" applyNumberFormat="1" applyFont="1" applyBorder="1" applyAlignment="1">
      <alignment horizontal="center"/>
    </xf>
    <xf numFmtId="167" fontId="10" fillId="0" borderId="15" xfId="0" applyNumberFormat="1" applyFont="1" applyBorder="1" applyAlignment="1">
      <alignment horizontal="center"/>
    </xf>
    <xf numFmtId="165" fontId="0" fillId="0" borderId="0" xfId="0" applyNumberFormat="1" applyAlignment="1" applyProtection="1">
      <alignment horizontal="left" vertical="center" indent="4"/>
      <protection locked="0"/>
    </xf>
    <xf numFmtId="165" fontId="32" fillId="0" borderId="0" xfId="6" applyNumberFormat="1" applyFont="1" applyFill="1" applyBorder="1" applyAlignment="1" applyProtection="1">
      <alignment horizontal="right"/>
      <protection locked="0"/>
    </xf>
    <xf numFmtId="165" fontId="32" fillId="0" borderId="0" xfId="6" applyNumberFormat="1" applyFont="1" applyFill="1" applyBorder="1" applyAlignment="1" applyProtection="1">
      <alignment horizontal="center"/>
      <protection locked="0"/>
    </xf>
    <xf numFmtId="165" fontId="12" fillId="11" borderId="3" xfId="0" applyNumberFormat="1" applyFont="1" applyFill="1" applyBorder="1" applyProtection="1">
      <protection locked="0"/>
    </xf>
    <xf numFmtId="165" fontId="22" fillId="0" borderId="3" xfId="0" applyNumberFormat="1" applyFont="1" applyBorder="1" applyAlignment="1" applyProtection="1">
      <alignment horizontal="center"/>
      <protection locked="0"/>
    </xf>
    <xf numFmtId="165" fontId="12" fillId="0" borderId="3" xfId="0" applyNumberFormat="1" applyFont="1" applyBorder="1" applyAlignment="1" applyProtection="1">
      <alignment horizontal="center"/>
      <protection locked="0"/>
    </xf>
    <xf numFmtId="165" fontId="10" fillId="0" borderId="18" xfId="0" applyNumberFormat="1" applyFont="1" applyBorder="1" applyAlignment="1" applyProtection="1">
      <alignment horizontal="right"/>
      <protection locked="0"/>
    </xf>
    <xf numFmtId="165" fontId="10" fillId="0" borderId="17"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9" xfId="0" applyNumberFormat="1" applyFont="1" applyBorder="1" applyProtection="1">
      <protection locked="0"/>
    </xf>
    <xf numFmtId="165" fontId="10" fillId="0" borderId="6" xfId="0" applyNumberFormat="1" applyFont="1" applyBorder="1" applyAlignment="1" applyProtection="1">
      <alignment horizontal="right"/>
      <protection locked="0"/>
    </xf>
    <xf numFmtId="165" fontId="10" fillId="0" borderId="2" xfId="0" applyNumberFormat="1" applyFont="1" applyBorder="1" applyAlignment="1" applyProtection="1">
      <alignment horizontal="center"/>
      <protection locked="0"/>
    </xf>
    <xf numFmtId="165" fontId="12" fillId="0" borderId="20" xfId="0" applyNumberFormat="1" applyFont="1" applyBorder="1" applyAlignment="1" applyProtection="1">
      <alignment horizontal="right"/>
      <protection locked="0"/>
    </xf>
    <xf numFmtId="165" fontId="12" fillId="0" borderId="21" xfId="0" applyNumberFormat="1" applyFont="1" applyBorder="1" applyAlignment="1" applyProtection="1">
      <alignment horizontal="center"/>
      <protection locked="0"/>
    </xf>
    <xf numFmtId="165" fontId="10" fillId="0" borderId="13" xfId="0" applyNumberFormat="1" applyFont="1" applyBorder="1" applyAlignment="1" applyProtection="1">
      <alignment horizontal="right"/>
      <protection locked="0"/>
    </xf>
    <xf numFmtId="165" fontId="10" fillId="0" borderId="14" xfId="0" applyNumberFormat="1" applyFont="1" applyBorder="1" applyAlignment="1" applyProtection="1">
      <alignment horizontal="center"/>
      <protection locked="0"/>
    </xf>
    <xf numFmtId="165" fontId="10" fillId="0" borderId="14" xfId="0" applyNumberFormat="1" applyFont="1" applyBorder="1" applyProtection="1">
      <protection locked="0"/>
    </xf>
    <xf numFmtId="165" fontId="12" fillId="16" borderId="20" xfId="0" applyNumberFormat="1" applyFont="1" applyFill="1" applyBorder="1" applyAlignment="1" applyProtection="1">
      <alignment horizontal="right"/>
      <protection locked="0"/>
    </xf>
    <xf numFmtId="165" fontId="12" fillId="16" borderId="26" xfId="0" applyNumberFormat="1" applyFont="1" applyFill="1" applyBorder="1" applyAlignment="1" applyProtection="1">
      <alignment horizontal="center"/>
      <protection locked="0"/>
    </xf>
    <xf numFmtId="165" fontId="12" fillId="9" borderId="11" xfId="5" applyNumberFormat="1" applyFont="1" applyProtection="1">
      <protection locked="0"/>
    </xf>
    <xf numFmtId="165" fontId="10" fillId="0" borderId="6" xfId="0" applyNumberFormat="1" applyFont="1" applyBorder="1" applyProtection="1">
      <protection locked="0"/>
    </xf>
    <xf numFmtId="165" fontId="24" fillId="0" borderId="3" xfId="0" applyNumberFormat="1" applyFont="1" applyBorder="1" applyAlignment="1" applyProtection="1">
      <alignment horizontal="center"/>
      <protection locked="0"/>
    </xf>
    <xf numFmtId="165" fontId="27" fillId="5" borderId="0" xfId="0" applyNumberFormat="1" applyFont="1" applyFill="1" applyProtection="1">
      <protection locked="0"/>
    </xf>
    <xf numFmtId="165" fontId="10" fillId="0" borderId="3" xfId="0" applyNumberFormat="1" applyFont="1" applyBorder="1" applyProtection="1">
      <protection locked="0"/>
    </xf>
    <xf numFmtId="165" fontId="10" fillId="0" borderId="17" xfId="0" applyNumberFormat="1" applyFont="1" applyBorder="1" applyProtection="1">
      <protection locked="0"/>
    </xf>
    <xf numFmtId="165" fontId="24" fillId="0" borderId="17" xfId="0" applyNumberFormat="1" applyFont="1" applyBorder="1" applyAlignment="1" applyProtection="1">
      <alignment horizontal="center"/>
      <protection locked="0"/>
    </xf>
    <xf numFmtId="165" fontId="12" fillId="0" borderId="23" xfId="0" applyNumberFormat="1" applyFont="1" applyBorder="1" applyProtection="1">
      <protection locked="0"/>
    </xf>
    <xf numFmtId="165" fontId="10" fillId="0" borderId="24" xfId="0" applyNumberFormat="1" applyFont="1" applyBorder="1" applyAlignment="1" applyProtection="1">
      <alignment horizontal="center"/>
      <protection locked="0"/>
    </xf>
    <xf numFmtId="165" fontId="10" fillId="0" borderId="18" xfId="0" applyNumberFormat="1" applyFont="1" applyBorder="1" applyProtection="1">
      <protection locked="0"/>
    </xf>
    <xf numFmtId="165" fontId="33" fillId="0" borderId="13" xfId="0" applyNumberFormat="1" applyFont="1" applyBorder="1" applyProtection="1">
      <protection locked="0"/>
    </xf>
    <xf numFmtId="165" fontId="10" fillId="0" borderId="16" xfId="0" applyNumberFormat="1" applyFont="1" applyBorder="1" applyAlignment="1" applyProtection="1">
      <alignment horizontal="center"/>
      <protection locked="0"/>
    </xf>
    <xf numFmtId="165" fontId="33" fillId="0" borderId="6" xfId="0" applyNumberFormat="1" applyFont="1" applyBorder="1" applyProtection="1">
      <protection locked="0"/>
    </xf>
    <xf numFmtId="165" fontId="24" fillId="6" borderId="7" xfId="0" applyNumberFormat="1" applyFont="1" applyFill="1" applyBorder="1" applyProtection="1">
      <protection locked="0"/>
    </xf>
    <xf numFmtId="165" fontId="24" fillId="6" borderId="3" xfId="0" applyNumberFormat="1" applyFont="1" applyFill="1" applyBorder="1" applyAlignment="1" applyProtection="1">
      <alignment horizontal="center"/>
      <protection locked="0"/>
    </xf>
    <xf numFmtId="165" fontId="24" fillId="5" borderId="0" xfId="0" applyNumberFormat="1" applyFont="1" applyFill="1" applyProtection="1">
      <protection locked="0"/>
    </xf>
    <xf numFmtId="165" fontId="24" fillId="6" borderId="0" xfId="0" applyNumberFormat="1" applyFont="1" applyFill="1" applyProtection="1">
      <protection locked="0"/>
    </xf>
    <xf numFmtId="165" fontId="12" fillId="0" borderId="6" xfId="0" applyNumberFormat="1" applyFont="1" applyBorder="1" applyProtection="1">
      <protection locked="0"/>
    </xf>
    <xf numFmtId="10" fontId="10" fillId="0" borderId="7" xfId="1" applyNumberFormat="1" applyFont="1" applyBorder="1" applyProtection="1">
      <protection locked="0"/>
    </xf>
    <xf numFmtId="10" fontId="10" fillId="0" borderId="3" xfId="1" applyNumberFormat="1" applyFont="1" applyBorder="1" applyAlignment="1" applyProtection="1">
      <alignment horizontal="center"/>
      <protection locked="0"/>
    </xf>
    <xf numFmtId="10" fontId="10" fillId="5" borderId="0" xfId="1" applyNumberFormat="1" applyFont="1" applyFill="1" applyProtection="1">
      <protection locked="0"/>
    </xf>
    <xf numFmtId="10" fontId="10" fillId="0" borderId="0" xfId="1" applyNumberFormat="1" applyFont="1" applyProtection="1">
      <protection locked="0"/>
    </xf>
    <xf numFmtId="165" fontId="12" fillId="13" borderId="20" xfId="0" applyNumberFormat="1" applyFont="1" applyFill="1" applyBorder="1" applyProtection="1">
      <protection locked="0"/>
    </xf>
    <xf numFmtId="165" fontId="12" fillId="13" borderId="26" xfId="0" applyNumberFormat="1" applyFont="1" applyFill="1" applyBorder="1" applyAlignment="1" applyProtection="1">
      <alignment horizontal="center"/>
      <protection locked="0"/>
    </xf>
    <xf numFmtId="165" fontId="12" fillId="5" borderId="0" xfId="0" applyNumberFormat="1" applyFont="1" applyFill="1" applyProtection="1">
      <protection locked="0"/>
    </xf>
    <xf numFmtId="165" fontId="27" fillId="14" borderId="0" xfId="0" applyNumberFormat="1" applyFont="1" applyFill="1" applyProtection="1">
      <protection locked="0"/>
    </xf>
    <xf numFmtId="165" fontId="27" fillId="14" borderId="0" xfId="0" applyNumberFormat="1" applyFont="1" applyFill="1" applyAlignment="1" applyProtection="1">
      <alignment horizontal="center"/>
      <protection locked="0"/>
    </xf>
    <xf numFmtId="165" fontId="10" fillId="12" borderId="3" xfId="0" applyNumberFormat="1" applyFont="1" applyFill="1" applyBorder="1" applyAlignment="1" applyProtection="1">
      <alignment horizontal="right"/>
      <protection locked="0"/>
    </xf>
    <xf numFmtId="165" fontId="29" fillId="12" borderId="3" xfId="0" applyNumberFormat="1" applyFont="1" applyFill="1" applyBorder="1" applyAlignment="1" applyProtection="1">
      <alignment horizontal="left"/>
      <protection locked="0"/>
    </xf>
    <xf numFmtId="165" fontId="12" fillId="0" borderId="7" xfId="0" applyNumberFormat="1" applyFont="1" applyBorder="1" applyAlignment="1" applyProtection="1">
      <alignment horizontal="right"/>
      <protection locked="0"/>
    </xf>
    <xf numFmtId="165" fontId="10" fillId="0" borderId="35" xfId="5" applyNumberFormat="1" applyFont="1" applyFill="1" applyBorder="1" applyProtection="1">
      <protection locked="0"/>
    </xf>
    <xf numFmtId="9" fontId="10" fillId="0" borderId="17" xfId="1" applyFont="1" applyBorder="1" applyAlignment="1" applyProtection="1">
      <alignment horizontal="center"/>
      <protection locked="0"/>
    </xf>
    <xf numFmtId="9" fontId="10" fillId="0" borderId="16" xfId="1" applyFont="1" applyBorder="1" applyAlignment="1" applyProtection="1">
      <alignment horizontal="center"/>
      <protection locked="0"/>
    </xf>
    <xf numFmtId="165" fontId="8" fillId="4" borderId="28" xfId="3" applyNumberFormat="1" applyBorder="1" applyProtection="1">
      <protection locked="0"/>
    </xf>
    <xf numFmtId="165" fontId="8" fillId="4" borderId="28" xfId="3" applyNumberForma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165" fontId="10" fillId="0" borderId="6" xfId="0" applyNumberFormat="1" applyFont="1" applyBorder="1" applyAlignment="1" applyProtection="1">
      <alignment horizontal="center"/>
      <protection locked="0"/>
    </xf>
    <xf numFmtId="165" fontId="10" fillId="0" borderId="13" xfId="0" applyNumberFormat="1" applyFont="1" applyBorder="1" applyAlignment="1" applyProtection="1">
      <alignment horizontal="center"/>
      <protection locked="0"/>
    </xf>
    <xf numFmtId="165" fontId="10" fillId="12" borderId="17" xfId="0" applyNumberFormat="1" applyFont="1" applyFill="1" applyBorder="1" applyAlignment="1" applyProtection="1">
      <alignment horizontal="right"/>
      <protection locked="0"/>
    </xf>
    <xf numFmtId="165" fontId="10" fillId="13" borderId="3" xfId="0" applyNumberFormat="1" applyFont="1" applyFill="1" applyBorder="1" applyAlignment="1" applyProtection="1">
      <alignment horizontal="right"/>
      <protection locked="0"/>
    </xf>
    <xf numFmtId="165" fontId="29" fillId="13" borderId="3" xfId="0" applyNumberFormat="1" applyFont="1" applyFill="1" applyBorder="1" applyAlignment="1" applyProtection="1">
      <alignment horizontal="left"/>
      <protection locked="0"/>
    </xf>
    <xf numFmtId="165" fontId="10" fillId="13" borderId="3" xfId="0" applyNumberFormat="1" applyFont="1" applyFill="1" applyBorder="1" applyAlignment="1" applyProtection="1">
      <alignment horizontal="center"/>
      <protection locked="0"/>
    </xf>
    <xf numFmtId="165" fontId="10" fillId="13" borderId="0" xfId="0" applyNumberFormat="1" applyFont="1" applyFill="1" applyProtection="1">
      <protection locked="0"/>
    </xf>
    <xf numFmtId="0" fontId="29" fillId="0" borderId="8" xfId="0" applyFont="1" applyBorder="1" applyProtection="1">
      <protection locked="0"/>
    </xf>
    <xf numFmtId="173" fontId="0" fillId="0" borderId="8" xfId="0" applyNumberFormat="1" applyBorder="1" applyProtection="1">
      <protection locked="0"/>
    </xf>
    <xf numFmtId="165" fontId="10" fillId="12" borderId="3" xfId="0" applyNumberFormat="1" applyFont="1" applyFill="1" applyBorder="1" applyAlignment="1" applyProtection="1">
      <alignment horizontal="left"/>
      <protection locked="0"/>
    </xf>
    <xf numFmtId="171" fontId="29" fillId="0" borderId="19" xfId="0" applyNumberFormat="1" applyFont="1" applyBorder="1" applyProtection="1">
      <protection locked="0"/>
    </xf>
    <xf numFmtId="0" fontId="29" fillId="0" borderId="14" xfId="0" applyFont="1" applyBorder="1" applyProtection="1">
      <protection locked="0"/>
    </xf>
    <xf numFmtId="173" fontId="1" fillId="0" borderId="0" xfId="0" applyNumberFormat="1" applyFont="1" applyProtection="1">
      <protection locked="0"/>
    </xf>
    <xf numFmtId="0" fontId="1" fillId="0" borderId="0" xfId="0" applyFont="1" applyAlignment="1" applyProtection="1">
      <alignment vertical="center"/>
      <protection locked="0"/>
    </xf>
    <xf numFmtId="165" fontId="0" fillId="0" borderId="19" xfId="0" applyNumberFormat="1" applyBorder="1" applyProtection="1">
      <protection locked="0"/>
    </xf>
    <xf numFmtId="165" fontId="0" fillId="0" borderId="33" xfId="0" applyNumberFormat="1" applyBorder="1" applyProtection="1">
      <protection locked="0"/>
    </xf>
    <xf numFmtId="0" fontId="29" fillId="0" borderId="6" xfId="0" applyFont="1" applyBorder="1" applyAlignment="1" applyProtection="1">
      <alignment horizontal="left" indent="1"/>
      <protection locked="0"/>
    </xf>
    <xf numFmtId="0" fontId="29" fillId="0" borderId="13" xfId="0" applyFont="1" applyBorder="1" applyAlignment="1" applyProtection="1">
      <alignment horizontal="left" indent="1"/>
      <protection locked="0"/>
    </xf>
    <xf numFmtId="165" fontId="0" fillId="0" borderId="14" xfId="0" applyNumberFormat="1" applyBorder="1" applyProtection="1">
      <protection locked="0"/>
    </xf>
    <xf numFmtId="173" fontId="0" fillId="0" borderId="14" xfId="0" applyNumberFormat="1" applyBorder="1" applyProtection="1">
      <protection locked="0"/>
    </xf>
    <xf numFmtId="173" fontId="0" fillId="0" borderId="15" xfId="0" applyNumberFormat="1"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12" fillId="11" borderId="17" xfId="0" applyNumberFormat="1" applyFont="1" applyFill="1" applyBorder="1" applyProtection="1">
      <protection locked="0"/>
    </xf>
    <xf numFmtId="0" fontId="10" fillId="0" borderId="17" xfId="0" applyFont="1" applyBorder="1" applyProtection="1">
      <protection locked="0"/>
    </xf>
    <xf numFmtId="0" fontId="10" fillId="0" borderId="19" xfId="0" applyFont="1" applyBorder="1" applyProtection="1">
      <protection locked="0"/>
    </xf>
    <xf numFmtId="0" fontId="10" fillId="0" borderId="16" xfId="0" applyFont="1" applyBorder="1" applyProtection="1">
      <protection locked="0"/>
    </xf>
    <xf numFmtId="0" fontId="12" fillId="0" borderId="26" xfId="0" applyFont="1" applyBorder="1" applyProtection="1">
      <protection locked="0"/>
    </xf>
    <xf numFmtId="0" fontId="12" fillId="0" borderId="22" xfId="0" applyFont="1" applyBorder="1" applyProtection="1">
      <protection locked="0"/>
    </xf>
    <xf numFmtId="0" fontId="12" fillId="0" borderId="0" xfId="0" applyFont="1" applyProtection="1">
      <protection locked="0"/>
    </xf>
    <xf numFmtId="165" fontId="12" fillId="11" borderId="17" xfId="0" applyNumberFormat="1" applyFont="1" applyFill="1" applyBorder="1" applyAlignment="1" applyProtection="1">
      <alignment horizontal="left"/>
      <protection locked="0"/>
    </xf>
    <xf numFmtId="165" fontId="10" fillId="0" borderId="0" xfId="0" applyNumberFormat="1" applyFont="1" applyAlignment="1" applyProtection="1">
      <alignment horizontal="left" vertical="top"/>
      <protection locked="0"/>
    </xf>
    <xf numFmtId="165" fontId="12" fillId="0" borderId="0" xfId="0" applyNumberFormat="1" applyFont="1" applyAlignment="1" applyProtection="1">
      <alignment horizontal="centerContinuous"/>
      <protection locked="0"/>
    </xf>
    <xf numFmtId="0" fontId="12" fillId="5" borderId="0" xfId="0" applyFont="1" applyFill="1" applyProtection="1">
      <protection locked="0"/>
    </xf>
    <xf numFmtId="0" fontId="12" fillId="11" borderId="2" xfId="0" applyFont="1" applyFill="1" applyBorder="1" applyProtection="1">
      <protection locked="0"/>
    </xf>
    <xf numFmtId="167" fontId="12" fillId="0" borderId="17" xfId="0" applyNumberFormat="1" applyFont="1" applyBorder="1" applyProtection="1">
      <protection locked="0"/>
    </xf>
    <xf numFmtId="167" fontId="10" fillId="0" borderId="19" xfId="0" applyNumberFormat="1" applyFont="1" applyBorder="1" applyProtection="1">
      <protection locked="0"/>
    </xf>
    <xf numFmtId="167" fontId="10" fillId="5" borderId="0" xfId="0" applyNumberFormat="1" applyFont="1" applyFill="1" applyProtection="1">
      <protection locked="0"/>
    </xf>
    <xf numFmtId="167" fontId="12" fillId="0" borderId="16" xfId="0" applyNumberFormat="1" applyFont="1" applyBorder="1" applyProtection="1">
      <protection locked="0"/>
    </xf>
    <xf numFmtId="167" fontId="10" fillId="0" borderId="0" xfId="0" applyNumberFormat="1" applyFont="1" applyProtection="1">
      <protection locked="0"/>
    </xf>
    <xf numFmtId="167" fontId="12" fillId="0" borderId="2" xfId="0" applyNumberFormat="1" applyFont="1" applyBorder="1" applyProtection="1">
      <protection locked="0"/>
    </xf>
    <xf numFmtId="167" fontId="10" fillId="0" borderId="14" xfId="0" applyNumberFormat="1" applyFont="1" applyBorder="1" applyProtection="1">
      <protection locked="0"/>
    </xf>
    <xf numFmtId="0" fontId="37" fillId="0" borderId="0" xfId="0" applyFont="1" applyProtection="1">
      <protection locked="0"/>
    </xf>
    <xf numFmtId="0" fontId="22" fillId="11" borderId="3" xfId="0" applyFont="1" applyFill="1" applyBorder="1" applyProtection="1">
      <protection locked="0"/>
    </xf>
    <xf numFmtId="0" fontId="12" fillId="0" borderId="7" xfId="0" applyFont="1" applyBorder="1" applyProtection="1">
      <protection locked="0"/>
    </xf>
    <xf numFmtId="0" fontId="10" fillId="0" borderId="0" xfId="0" applyFont="1" applyAlignment="1" applyProtection="1">
      <alignment horizontal="right"/>
      <protection locked="0"/>
    </xf>
    <xf numFmtId="43" fontId="10" fillId="0" borderId="0" xfId="0" applyNumberFormat="1" applyFont="1" applyAlignment="1" applyProtection="1">
      <alignment horizontal="right" vertical="center"/>
      <protection locked="0"/>
    </xf>
    <xf numFmtId="165" fontId="39" fillId="0" borderId="0" xfId="0" applyNumberFormat="1" applyFont="1" applyAlignment="1" applyProtection="1">
      <alignment horizontal="left"/>
      <protection locked="0"/>
    </xf>
    <xf numFmtId="0" fontId="12" fillId="11" borderId="7" xfId="0" applyFont="1" applyFill="1" applyBorder="1" applyProtection="1">
      <protection locked="0"/>
    </xf>
    <xf numFmtId="0" fontId="12" fillId="11" borderId="9" xfId="0" applyFont="1" applyFill="1" applyBorder="1" applyProtection="1">
      <protection locked="0"/>
    </xf>
    <xf numFmtId="165" fontId="10" fillId="0" borderId="6" xfId="0" applyNumberFormat="1" applyFont="1" applyBorder="1" applyAlignment="1" applyProtection="1">
      <alignment horizontal="left"/>
      <protection locked="0"/>
    </xf>
    <xf numFmtId="165" fontId="10" fillId="0" borderId="13" xfId="0" applyNumberFormat="1" applyFont="1" applyBorder="1" applyAlignment="1" applyProtection="1">
      <alignment horizontal="left"/>
      <protection locked="0"/>
    </xf>
    <xf numFmtId="165" fontId="10" fillId="0" borderId="20" xfId="0" applyNumberFormat="1" applyFont="1" applyBorder="1" applyAlignment="1" applyProtection="1">
      <alignment horizontal="left"/>
      <protection locked="0"/>
    </xf>
    <xf numFmtId="9" fontId="10" fillId="0" borderId="0" xfId="1" applyFont="1" applyFill="1" applyBorder="1" applyAlignment="1" applyProtection="1">
      <alignment horizontal="center"/>
      <protection locked="0"/>
    </xf>
    <xf numFmtId="165" fontId="10" fillId="0" borderId="2" xfId="0" applyNumberFormat="1" applyFont="1" applyBorder="1" applyAlignment="1" applyProtection="1">
      <alignment horizontal="right"/>
      <protection locked="0"/>
    </xf>
    <xf numFmtId="165" fontId="10" fillId="0" borderId="14" xfId="0" applyNumberFormat="1" applyFont="1" applyBorder="1" applyAlignment="1" applyProtection="1">
      <alignment horizontal="right"/>
      <protection locked="0"/>
    </xf>
    <xf numFmtId="165" fontId="10" fillId="0" borderId="8" xfId="0" applyNumberFormat="1" applyFont="1" applyBorder="1" applyAlignment="1" applyProtection="1">
      <alignment horizontal="right"/>
      <protection locked="0"/>
    </xf>
    <xf numFmtId="165" fontId="10" fillId="0" borderId="16" xfId="0" applyNumberFormat="1" applyFont="1" applyBorder="1" applyAlignment="1" applyProtection="1">
      <alignment horizontal="right"/>
      <protection locked="0"/>
    </xf>
    <xf numFmtId="165" fontId="10" fillId="0" borderId="3" xfId="0" applyNumberFormat="1" applyFont="1" applyBorder="1" applyAlignment="1" applyProtection="1">
      <alignment horizontal="right"/>
      <protection locked="0"/>
    </xf>
    <xf numFmtId="0" fontId="10" fillId="0" borderId="2" xfId="0" applyFont="1" applyBorder="1" applyProtection="1">
      <protection locked="0"/>
    </xf>
    <xf numFmtId="0" fontId="10" fillId="0" borderId="14" xfId="0" applyFont="1" applyBorder="1" applyProtection="1">
      <protection locked="0"/>
    </xf>
    <xf numFmtId="174" fontId="10" fillId="0" borderId="14" xfId="0" applyNumberFormat="1" applyFont="1" applyBorder="1" applyProtection="1">
      <protection locked="0"/>
    </xf>
    <xf numFmtId="165" fontId="27" fillId="0" borderId="16" xfId="0" applyNumberFormat="1" applyFont="1" applyBorder="1" applyAlignment="1" applyProtection="1">
      <alignment horizontal="center"/>
      <protection locked="0"/>
    </xf>
    <xf numFmtId="165" fontId="10" fillId="0" borderId="13" xfId="0" applyNumberFormat="1" applyFont="1" applyBorder="1" applyProtection="1">
      <protection locked="0"/>
    </xf>
    <xf numFmtId="165" fontId="27" fillId="0" borderId="2" xfId="0" applyNumberFormat="1" applyFont="1" applyBorder="1" applyAlignment="1" applyProtection="1">
      <alignment horizontal="center"/>
      <protection locked="0"/>
    </xf>
    <xf numFmtId="165" fontId="27" fillId="17" borderId="0" xfId="0" applyNumberFormat="1" applyFont="1" applyFill="1" applyProtection="1">
      <protection locked="0"/>
    </xf>
    <xf numFmtId="0" fontId="2" fillId="0" borderId="17" xfId="0" applyFont="1" applyBorder="1" applyAlignment="1" applyProtection="1">
      <alignment horizontal="center"/>
      <protection locked="0"/>
    </xf>
    <xf numFmtId="0" fontId="0" fillId="0" borderId="7" xfId="0" applyBorder="1" applyProtection="1">
      <protection locked="0"/>
    </xf>
    <xf numFmtId="171" fontId="10" fillId="0" borderId="9" xfId="0" applyNumberFormat="1" applyFont="1" applyBorder="1" applyProtection="1">
      <protection locked="0"/>
    </xf>
    <xf numFmtId="0" fontId="0" fillId="16" borderId="7" xfId="0" applyFill="1" applyBorder="1" applyProtection="1">
      <protection locked="0"/>
    </xf>
    <xf numFmtId="171" fontId="10" fillId="16" borderId="8" xfId="0" applyNumberFormat="1" applyFont="1" applyFill="1" applyBorder="1" applyProtection="1">
      <protection locked="0"/>
    </xf>
    <xf numFmtId="165" fontId="10" fillId="0" borderId="9" xfId="0" applyNumberFormat="1" applyFont="1" applyBorder="1" applyProtection="1">
      <protection locked="0"/>
    </xf>
    <xf numFmtId="171" fontId="10" fillId="0" borderId="0" xfId="0" applyNumberFormat="1" applyFont="1" applyProtection="1">
      <protection locked="0"/>
    </xf>
    <xf numFmtId="10" fontId="10" fillId="0" borderId="9" xfId="1" applyNumberFormat="1" applyFont="1" applyBorder="1" applyAlignment="1" applyProtection="1">
      <protection locked="0"/>
    </xf>
    <xf numFmtId="0" fontId="12" fillId="9" borderId="36" xfId="5" applyFont="1" applyBorder="1" applyProtection="1">
      <protection locked="0"/>
    </xf>
    <xf numFmtId="165" fontId="27" fillId="0" borderId="8" xfId="0" applyNumberFormat="1" applyFont="1" applyBorder="1" applyAlignment="1" applyProtection="1">
      <alignment horizontal="center" vertical="center"/>
      <protection locked="0"/>
    </xf>
    <xf numFmtId="3" fontId="11" fillId="0" borderId="0" xfId="0" applyNumberFormat="1" applyFont="1" applyAlignment="1" applyProtection="1">
      <alignment horizontal="left"/>
      <protection locked="0"/>
    </xf>
    <xf numFmtId="165" fontId="10" fillId="0" borderId="7" xfId="0" applyNumberFormat="1" applyFont="1" applyBorder="1" applyProtection="1">
      <protection locked="0"/>
    </xf>
    <xf numFmtId="0" fontId="10" fillId="0" borderId="7" xfId="0" applyFont="1" applyBorder="1" applyProtection="1">
      <protection locked="0"/>
    </xf>
    <xf numFmtId="165" fontId="27" fillId="0" borderId="8" xfId="0" applyNumberFormat="1" applyFont="1" applyBorder="1" applyAlignment="1" applyProtection="1">
      <alignment horizontal="left" vertical="center"/>
      <protection locked="0"/>
    </xf>
    <xf numFmtId="0" fontId="19" fillId="7" borderId="0" xfId="0" applyFont="1" applyFill="1" applyAlignment="1" applyProtection="1">
      <alignment horizontal="center" wrapText="1"/>
      <protection locked="0"/>
    </xf>
    <xf numFmtId="171" fontId="1" fillId="2" borderId="0" xfId="0" applyNumberFormat="1" applyFont="1" applyFill="1" applyAlignment="1" applyProtection="1">
      <alignment horizontal="center" wrapText="1"/>
      <protection locked="0"/>
    </xf>
    <xf numFmtId="171" fontId="19"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10" fontId="19" fillId="0" borderId="0" xfId="0" applyNumberFormat="1" applyFont="1" applyAlignment="1" applyProtection="1">
      <alignment horizontal="center"/>
      <protection locked="0"/>
    </xf>
    <xf numFmtId="171" fontId="19" fillId="2" borderId="0" xfId="0" applyNumberFormat="1" applyFont="1" applyFill="1" applyAlignment="1" applyProtection="1">
      <alignment horizontal="center"/>
      <protection locked="0"/>
    </xf>
    <xf numFmtId="0" fontId="1" fillId="0" borderId="0" xfId="0" applyFont="1" applyAlignment="1" applyProtection="1">
      <alignment horizontal="center"/>
      <protection locked="0"/>
    </xf>
    <xf numFmtId="0" fontId="1" fillId="0" borderId="8" xfId="0" applyFont="1" applyBorder="1" applyProtection="1">
      <protection locked="0"/>
    </xf>
    <xf numFmtId="171" fontId="19" fillId="0" borderId="8" xfId="0" applyNumberFormat="1" applyFont="1" applyBorder="1" applyAlignment="1" applyProtection="1">
      <alignment horizontal="center"/>
      <protection locked="0"/>
    </xf>
    <xf numFmtId="165" fontId="19" fillId="0" borderId="8" xfId="0" applyNumberFormat="1" applyFont="1" applyBorder="1" applyAlignment="1" applyProtection="1">
      <alignment horizontal="center"/>
      <protection locked="0"/>
    </xf>
    <xf numFmtId="10" fontId="19" fillId="0" borderId="8" xfId="0" applyNumberFormat="1" applyFont="1" applyBorder="1" applyAlignment="1" applyProtection="1">
      <alignment horizontal="center"/>
      <protection locked="0"/>
    </xf>
    <xf numFmtId="0" fontId="19" fillId="0" borderId="8" xfId="0" applyFont="1" applyBorder="1" applyAlignment="1" applyProtection="1">
      <alignment horizontal="center"/>
      <protection locked="0"/>
    </xf>
    <xf numFmtId="171" fontId="19" fillId="2" borderId="8" xfId="0" applyNumberFormat="1" applyFont="1" applyFill="1" applyBorder="1" applyAlignment="1" applyProtection="1">
      <alignment horizontal="center"/>
      <protection locked="0"/>
    </xf>
    <xf numFmtId="171" fontId="1" fillId="2" borderId="8" xfId="0" applyNumberFormat="1" applyFont="1" applyFill="1" applyBorder="1" applyAlignment="1" applyProtection="1">
      <alignment horizontal="center"/>
      <protection locked="0"/>
    </xf>
    <xf numFmtId="0" fontId="1" fillId="0" borderId="3" xfId="0" applyFont="1" applyBorder="1" applyProtection="1">
      <protection locked="0"/>
    </xf>
    <xf numFmtId="3" fontId="19" fillId="0" borderId="3" xfId="0" applyNumberFormat="1" applyFont="1" applyBorder="1" applyAlignment="1" applyProtection="1">
      <alignment wrapText="1"/>
      <protection locked="0"/>
    </xf>
    <xf numFmtId="165" fontId="27" fillId="0" borderId="3" xfId="0" applyNumberFormat="1" applyFont="1" applyBorder="1" applyAlignment="1" applyProtection="1">
      <alignment horizontal="center" vertical="center"/>
      <protection locked="0"/>
    </xf>
    <xf numFmtId="165" fontId="19" fillId="0" borderId="3" xfId="0" applyNumberFormat="1" applyFont="1" applyBorder="1" applyProtection="1">
      <protection locked="0"/>
    </xf>
    <xf numFmtId="170" fontId="13" fillId="3" borderId="1" xfId="2" applyNumberFormat="1" applyFont="1" applyAlignment="1" applyProtection="1">
      <alignment horizontal="center"/>
    </xf>
    <xf numFmtId="165" fontId="1" fillId="0" borderId="0" xfId="0" applyNumberFormat="1" applyFont="1" applyAlignment="1" applyProtection="1">
      <alignment horizontal="center"/>
      <protection locked="0"/>
    </xf>
    <xf numFmtId="3" fontId="17" fillId="5" borderId="0" xfId="0" applyNumberFormat="1" applyFont="1" applyFill="1" applyAlignment="1" applyProtection="1">
      <alignment horizontal="center"/>
      <protection locked="0"/>
    </xf>
    <xf numFmtId="3" fontId="11" fillId="5" borderId="0" xfId="0" applyNumberFormat="1" applyFont="1" applyFill="1" applyAlignment="1" applyProtection="1">
      <alignment horizontal="center"/>
      <protection locked="0"/>
    </xf>
    <xf numFmtId="3" fontId="21" fillId="5" borderId="0" xfId="0" applyNumberFormat="1" applyFont="1" applyFill="1" applyAlignment="1" applyProtection="1">
      <alignment horizontal="center"/>
      <protection locked="0"/>
    </xf>
    <xf numFmtId="3" fontId="20" fillId="5" borderId="0" xfId="0" applyNumberFormat="1" applyFont="1" applyFill="1" applyAlignment="1" applyProtection="1">
      <alignment horizontal="center"/>
      <protection locked="0"/>
    </xf>
    <xf numFmtId="3" fontId="22" fillId="5" borderId="0" xfId="0" applyNumberFormat="1" applyFont="1" applyFill="1" applyAlignment="1" applyProtection="1">
      <alignment horizontal="center"/>
      <protection locked="0"/>
    </xf>
    <xf numFmtId="0" fontId="29" fillId="0" borderId="19" xfId="0" applyFont="1" applyBorder="1"/>
    <xf numFmtId="171" fontId="0" fillId="0" borderId="19" xfId="0" applyNumberFormat="1" applyBorder="1"/>
    <xf numFmtId="171" fontId="0" fillId="0" borderId="33" xfId="0" applyNumberFormat="1" applyBorder="1"/>
    <xf numFmtId="171" fontId="29" fillId="0" borderId="14" xfId="0" applyNumberFormat="1" applyFont="1" applyBorder="1"/>
    <xf numFmtId="171" fontId="0" fillId="0" borderId="14" xfId="0" applyNumberFormat="1" applyBorder="1"/>
    <xf numFmtId="171" fontId="0" fillId="0" borderId="15" xfId="0" applyNumberFormat="1" applyBorder="1"/>
    <xf numFmtId="171" fontId="24" fillId="0" borderId="19" xfId="0" quotePrefix="1" applyNumberFormat="1" applyFont="1" applyBorder="1"/>
    <xf numFmtId="171" fontId="24" fillId="0" borderId="33" xfId="0" quotePrefix="1" applyNumberFormat="1" applyFont="1" applyBorder="1"/>
    <xf numFmtId="171" fontId="24" fillId="0" borderId="14" xfId="0" quotePrefix="1" applyNumberFormat="1" applyFont="1" applyBorder="1"/>
    <xf numFmtId="171" fontId="24" fillId="0" borderId="15" xfId="0" quotePrefix="1" applyNumberFormat="1" applyFont="1" applyBorder="1"/>
    <xf numFmtId="173" fontId="0" fillId="0" borderId="0" xfId="0" applyNumberFormat="1" applyAlignment="1">
      <alignment horizontal="left" vertical="center" indent="4"/>
    </xf>
    <xf numFmtId="173" fontId="24" fillId="0" borderId="0" xfId="0" quotePrefix="1" applyNumberFormat="1" applyFont="1"/>
    <xf numFmtId="173" fontId="24" fillId="0" borderId="0" xfId="0" applyNumberFormat="1" applyFont="1"/>
    <xf numFmtId="173" fontId="24" fillId="0" borderId="0" xfId="0" applyNumberFormat="1" applyFont="1" applyAlignment="1">
      <alignment horizontal="center"/>
    </xf>
    <xf numFmtId="171" fontId="10" fillId="0" borderId="8" xfId="0" applyNumberFormat="1" applyFont="1" applyBorder="1"/>
    <xf numFmtId="165" fontId="10" fillId="0" borderId="9" xfId="0" applyNumberFormat="1" applyFont="1" applyBorder="1"/>
    <xf numFmtId="165" fontId="27" fillId="0" borderId="8" xfId="0" applyNumberFormat="1" applyFont="1" applyBorder="1" applyAlignment="1">
      <alignment horizontal="center" vertical="center"/>
    </xf>
    <xf numFmtId="165" fontId="8" fillId="4" borderId="28" xfId="3" applyNumberFormat="1" applyBorder="1" applyAlignment="1" applyProtection="1">
      <alignment horizontal="center"/>
    </xf>
    <xf numFmtId="165" fontId="10" fillId="0" borderId="2" xfId="0" applyNumberFormat="1" applyFont="1" applyBorder="1" applyAlignment="1">
      <alignment horizontal="center"/>
    </xf>
    <xf numFmtId="10" fontId="27" fillId="0" borderId="0" xfId="1" applyNumberFormat="1" applyFont="1" applyProtection="1">
      <protection locked="0"/>
    </xf>
    <xf numFmtId="165" fontId="10" fillId="2" borderId="0" xfId="0" applyNumberFormat="1" applyFont="1" applyFill="1"/>
    <xf numFmtId="171" fontId="0" fillId="0" borderId="8" xfId="0" applyNumberFormat="1" applyBorder="1"/>
    <xf numFmtId="165" fontId="13" fillId="20" borderId="27" xfId="2" applyNumberFormat="1" applyFont="1" applyFill="1" applyBorder="1" applyAlignment="1" applyProtection="1">
      <alignment horizontal="center"/>
      <protection locked="0"/>
    </xf>
    <xf numFmtId="171" fontId="14" fillId="4" borderId="41" xfId="3" applyNumberFormat="1" applyFont="1" applyBorder="1" applyAlignment="1" applyProtection="1">
      <alignment horizontal="center" vertical="top"/>
      <protection locked="0"/>
    </xf>
    <xf numFmtId="171" fontId="35" fillId="0" borderId="40" xfId="7" applyNumberFormat="1" applyFont="1" applyAlignment="1" applyProtection="1">
      <alignment horizontal="center" vertical="top"/>
      <protection locked="0"/>
    </xf>
    <xf numFmtId="165" fontId="12" fillId="6" borderId="0" xfId="0" applyNumberFormat="1" applyFont="1" applyFill="1" applyAlignment="1" applyProtection="1">
      <alignment horizontal="center"/>
      <protection locked="0"/>
    </xf>
    <xf numFmtId="165" fontId="36" fillId="6" borderId="0" xfId="0" applyNumberFormat="1" applyFont="1" applyFill="1" applyAlignment="1" applyProtection="1">
      <alignment horizontal="center"/>
      <protection locked="0"/>
    </xf>
    <xf numFmtId="165" fontId="34" fillId="17" borderId="0" xfId="0" applyNumberFormat="1" applyFont="1" applyFill="1" applyProtection="1">
      <protection locked="0"/>
    </xf>
    <xf numFmtId="165" fontId="10" fillId="17" borderId="0" xfId="0" applyNumberFormat="1" applyFont="1" applyFill="1" applyProtection="1">
      <protection locked="0"/>
    </xf>
    <xf numFmtId="172" fontId="14" fillId="15" borderId="22" xfId="3" applyNumberFormat="1" applyFont="1" applyFill="1" applyBorder="1" applyAlignment="1" applyProtection="1">
      <alignment horizontal="left"/>
      <protection locked="0"/>
    </xf>
    <xf numFmtId="172" fontId="14" fillId="15" borderId="22" xfId="3" applyNumberFormat="1" applyFont="1" applyFill="1" applyBorder="1" applyAlignment="1" applyProtection="1">
      <alignment horizontal="center"/>
      <protection locked="0"/>
    </xf>
    <xf numFmtId="165" fontId="14" fillId="15" borderId="22" xfId="3" applyNumberFormat="1" applyFont="1" applyFill="1" applyBorder="1" applyAlignment="1" applyProtection="1">
      <alignment horizontal="center"/>
      <protection locked="0"/>
    </xf>
    <xf numFmtId="9" fontId="14" fillId="15" borderId="22" xfId="1" applyFont="1" applyFill="1" applyBorder="1" applyAlignment="1" applyProtection="1">
      <alignment horizontal="center"/>
      <protection locked="0"/>
    </xf>
    <xf numFmtId="164" fontId="10" fillId="0" borderId="0" xfId="9" applyFont="1" applyProtection="1">
      <protection locked="0"/>
    </xf>
    <xf numFmtId="10" fontId="14" fillId="4" borderId="26" xfId="1" applyNumberFormat="1" applyFont="1" applyFill="1" applyBorder="1" applyAlignment="1" applyProtection="1">
      <alignment horizontal="center"/>
    </xf>
    <xf numFmtId="0" fontId="10" fillId="0" borderId="2" xfId="0" applyFont="1" applyBorder="1" applyAlignment="1">
      <alignment horizontal="center"/>
    </xf>
    <xf numFmtId="0" fontId="10" fillId="6" borderId="17" xfId="0" applyFont="1" applyFill="1" applyBorder="1" applyAlignment="1">
      <alignment horizontal="left"/>
    </xf>
    <xf numFmtId="0" fontId="12" fillId="6" borderId="9" xfId="0" applyFont="1" applyFill="1" applyBorder="1" applyAlignment="1">
      <alignment horizontal="centerContinuous"/>
    </xf>
    <xf numFmtId="0" fontId="12" fillId="6" borderId="3" xfId="0" applyFont="1" applyFill="1" applyBorder="1" applyAlignment="1">
      <alignment horizontal="centerContinuous"/>
    </xf>
    <xf numFmtId="0" fontId="22" fillId="6" borderId="3" xfId="0" applyFont="1" applyFill="1" applyBorder="1" applyAlignment="1">
      <alignment horizontal="centerContinuous"/>
    </xf>
    <xf numFmtId="0" fontId="24" fillId="6" borderId="7" xfId="0" applyFont="1" applyFill="1" applyBorder="1" applyAlignment="1">
      <alignment horizontal="centerContinuous"/>
    </xf>
    <xf numFmtId="0" fontId="22" fillId="6" borderId="17" xfId="0" applyFont="1" applyFill="1" applyBorder="1" applyAlignment="1">
      <alignment horizontal="center"/>
    </xf>
    <xf numFmtId="0" fontId="10" fillId="6" borderId="2" xfId="0" applyFont="1" applyFill="1" applyBorder="1" applyAlignment="1">
      <alignment horizontal="center" wrapText="1"/>
    </xf>
    <xf numFmtId="0" fontId="12" fillId="6" borderId="9" xfId="0" applyFont="1" applyFill="1" applyBorder="1" applyAlignment="1">
      <alignment horizontal="center" wrapText="1"/>
    </xf>
    <xf numFmtId="0" fontId="12" fillId="6" borderId="3" xfId="0" applyFont="1" applyFill="1" applyBorder="1" applyAlignment="1">
      <alignment horizontal="center" wrapText="1"/>
    </xf>
    <xf numFmtId="0" fontId="22" fillId="6" borderId="3" xfId="0" applyFont="1" applyFill="1" applyBorder="1" applyAlignment="1">
      <alignment horizontal="center" wrapText="1"/>
    </xf>
    <xf numFmtId="0" fontId="22" fillId="6" borderId="7" xfId="0" applyFont="1" applyFill="1" applyBorder="1" applyAlignment="1">
      <alignment horizontal="center" wrapText="1"/>
    </xf>
    <xf numFmtId="0" fontId="22" fillId="6" borderId="2" xfId="0" applyFont="1" applyFill="1" applyBorder="1" applyAlignment="1">
      <alignment horizontal="center" wrapText="1"/>
    </xf>
    <xf numFmtId="0" fontId="10" fillId="6" borderId="3" xfId="0" applyFont="1" applyFill="1" applyBorder="1" applyAlignment="1">
      <alignment horizontal="left"/>
    </xf>
    <xf numFmtId="165" fontId="35" fillId="4" borderId="3" xfId="1" applyNumberFormat="1" applyFont="1" applyFill="1" applyBorder="1" applyAlignment="1" applyProtection="1">
      <alignment horizontal="center"/>
    </xf>
    <xf numFmtId="165" fontId="35" fillId="4" borderId="17" xfId="1" applyNumberFormat="1" applyFont="1" applyFill="1" applyBorder="1" applyAlignment="1" applyProtection="1">
      <alignment horizontal="center"/>
    </xf>
    <xf numFmtId="10" fontId="35" fillId="0" borderId="16" xfId="7" applyNumberFormat="1" applyFont="1" applyBorder="1" applyAlignment="1" applyProtection="1">
      <alignment horizontal="center" vertical="top"/>
    </xf>
    <xf numFmtId="10" fontId="35" fillId="4" borderId="17" xfId="1" applyNumberFormat="1" applyFont="1" applyFill="1" applyBorder="1" applyAlignment="1" applyProtection="1">
      <alignment horizontal="center"/>
    </xf>
    <xf numFmtId="0" fontId="2" fillId="6" borderId="26" xfId="0" applyFont="1" applyFill="1" applyBorder="1"/>
    <xf numFmtId="165" fontId="14" fillId="4" borderId="26" xfId="1" applyNumberFormat="1" applyFont="1" applyFill="1" applyBorder="1" applyAlignment="1" applyProtection="1">
      <alignment horizontal="center"/>
    </xf>
    <xf numFmtId="165" fontId="14" fillId="4" borderId="41" xfId="3" applyNumberFormat="1" applyFont="1" applyBorder="1" applyAlignment="1" applyProtection="1">
      <alignment horizontal="center" vertical="top"/>
      <protection locked="0"/>
    </xf>
    <xf numFmtId="0" fontId="12" fillId="0" borderId="3" xfId="0" applyFont="1" applyBorder="1" applyAlignment="1">
      <alignment horizontal="center"/>
    </xf>
    <xf numFmtId="3" fontId="26" fillId="7" borderId="16" xfId="0" applyNumberFormat="1" applyFont="1" applyFill="1" applyBorder="1" applyAlignment="1">
      <alignment horizontal="center"/>
    </xf>
    <xf numFmtId="0" fontId="2" fillId="0" borderId="3" xfId="0" applyFont="1" applyBorder="1"/>
    <xf numFmtId="0" fontId="0" fillId="0" borderId="3" xfId="0" applyBorder="1" applyAlignment="1">
      <alignment horizontal="right"/>
    </xf>
    <xf numFmtId="0" fontId="2" fillId="0" borderId="6" xfId="0" applyFont="1" applyBorder="1" applyAlignment="1">
      <alignment vertical="center"/>
    </xf>
    <xf numFmtId="165" fontId="24" fillId="0" borderId="16" xfId="0" applyNumberFormat="1" applyFont="1" applyBorder="1" applyAlignment="1">
      <alignment horizontal="center"/>
    </xf>
    <xf numFmtId="0" fontId="10" fillId="0" borderId="16" xfId="0" applyFont="1" applyBorder="1" applyAlignment="1">
      <alignment horizontal="center"/>
    </xf>
    <xf numFmtId="165" fontId="19" fillId="0" borderId="16" xfId="0" applyNumberFormat="1" applyFont="1" applyBorder="1" applyAlignment="1">
      <alignment horizontal="center"/>
    </xf>
    <xf numFmtId="165" fontId="10" fillId="0" borderId="16" xfId="0" applyNumberFormat="1" applyFont="1" applyBorder="1" applyAlignment="1">
      <alignment horizontal="center"/>
    </xf>
    <xf numFmtId="165" fontId="12" fillId="0" borderId="3" xfId="3" applyNumberFormat="1" applyFont="1" applyFill="1" applyBorder="1" applyAlignment="1" applyProtection="1">
      <alignment horizontal="center"/>
    </xf>
    <xf numFmtId="165" fontId="13" fillId="0" borderId="43" xfId="2" applyNumberFormat="1" applyFont="1" applyFill="1" applyBorder="1" applyAlignment="1" applyProtection="1">
      <alignment horizontal="center"/>
    </xf>
    <xf numFmtId="0" fontId="2" fillId="0" borderId="7" xfId="0" applyFont="1" applyBorder="1" applyAlignment="1" applyProtection="1">
      <alignment horizontal="center"/>
      <protection locked="0"/>
    </xf>
    <xf numFmtId="0" fontId="2" fillId="0" borderId="0" xfId="0" applyFont="1" applyAlignment="1" applyProtection="1">
      <alignment horizontal="centerContinuous"/>
      <protection locked="0"/>
    </xf>
    <xf numFmtId="165" fontId="1" fillId="0" borderId="0" xfId="0" applyNumberFormat="1" applyFont="1" applyAlignment="1" applyProtection="1">
      <alignment horizontal="centerContinuous"/>
      <protection locked="0"/>
    </xf>
    <xf numFmtId="165" fontId="2" fillId="0" borderId="0" xfId="0" applyNumberFormat="1" applyFont="1" applyAlignment="1" applyProtection="1">
      <alignment horizontal="centerContinuous"/>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76" fontId="10" fillId="0" borderId="0" xfId="0" applyNumberFormat="1" applyFont="1"/>
    <xf numFmtId="176" fontId="10" fillId="0" borderId="0" xfId="0" applyNumberFormat="1" applyFont="1" applyProtection="1">
      <protection locked="0"/>
    </xf>
    <xf numFmtId="170" fontId="10" fillId="0" borderId="0" xfId="1" applyNumberFormat="1" applyFont="1" applyFill="1" applyBorder="1" applyProtection="1">
      <protection locked="0"/>
    </xf>
    <xf numFmtId="170" fontId="10" fillId="0" borderId="0" xfId="1" applyNumberFormat="1" applyFont="1" applyFill="1" applyBorder="1" applyProtection="1"/>
    <xf numFmtId="167" fontId="10" fillId="0" borderId="0" xfId="0" applyNumberFormat="1" applyFont="1"/>
    <xf numFmtId="175" fontId="10" fillId="0" borderId="0" xfId="0" applyNumberFormat="1" applyFont="1"/>
    <xf numFmtId="175" fontId="10" fillId="0" borderId="0" xfId="0" applyNumberFormat="1" applyFont="1" applyProtection="1">
      <protection locked="0"/>
    </xf>
    <xf numFmtId="170" fontId="10" fillId="0" borderId="3" xfId="1" applyNumberFormat="1" applyFont="1" applyBorder="1" applyProtection="1"/>
    <xf numFmtId="167" fontId="10" fillId="0" borderId="3" xfId="0" applyNumberFormat="1" applyFont="1" applyBorder="1"/>
    <xf numFmtId="171" fontId="10" fillId="0" borderId="3" xfId="0" applyNumberFormat="1" applyFont="1" applyBorder="1"/>
    <xf numFmtId="0" fontId="10" fillId="0" borderId="0" xfId="0" applyFont="1" applyAlignment="1">
      <alignment vertical="justify"/>
    </xf>
    <xf numFmtId="0" fontId="48" fillId="0" borderId="3" xfId="0" applyFont="1" applyBorder="1" applyAlignment="1" applyProtection="1">
      <alignment vertical="center"/>
      <protection locked="0"/>
    </xf>
    <xf numFmtId="0" fontId="50" fillId="23" borderId="0" xfId="0" applyFont="1" applyFill="1"/>
    <xf numFmtId="0" fontId="51" fillId="23" borderId="0" xfId="0" applyFont="1" applyFill="1"/>
    <xf numFmtId="0" fontId="0" fillId="23" borderId="0" xfId="0" applyFill="1"/>
    <xf numFmtId="0" fontId="52" fillId="0" borderId="0" xfId="0" applyFont="1"/>
    <xf numFmtId="0" fontId="53" fillId="0" borderId="0" xfId="0" applyFont="1"/>
    <xf numFmtId="0" fontId="51" fillId="0" borderId="0" xfId="0" applyFont="1"/>
    <xf numFmtId="0" fontId="51" fillId="0" borderId="3" xfId="0" applyFont="1" applyBorder="1"/>
    <xf numFmtId="9" fontId="54" fillId="0" borderId="3" xfId="7" applyNumberFormat="1" applyFont="1" applyFill="1" applyBorder="1"/>
    <xf numFmtId="0" fontId="54" fillId="0" borderId="3" xfId="7" applyNumberFormat="1" applyFont="1" applyFill="1" applyBorder="1"/>
    <xf numFmtId="0" fontId="51" fillId="0" borderId="26" xfId="0" applyFont="1" applyBorder="1"/>
    <xf numFmtId="0" fontId="50" fillId="0" borderId="26" xfId="0" applyFont="1" applyBorder="1"/>
    <xf numFmtId="0" fontId="2" fillId="0" borderId="26" xfId="0" applyFont="1" applyBorder="1"/>
    <xf numFmtId="0" fontId="51" fillId="0" borderId="2" xfId="0" applyFont="1" applyBorder="1"/>
    <xf numFmtId="177" fontId="54" fillId="0" borderId="40" xfId="7" applyNumberFormat="1" applyFont="1" applyFill="1"/>
    <xf numFmtId="177" fontId="45" fillId="4" borderId="1" xfId="3" applyNumberFormat="1" applyFont="1"/>
    <xf numFmtId="177" fontId="8" fillId="4" borderId="1" xfId="3" applyNumberFormat="1"/>
    <xf numFmtId="177" fontId="54" fillId="0" borderId="0" xfId="7" applyNumberFormat="1" applyFont="1" applyFill="1" applyBorder="1"/>
    <xf numFmtId="177" fontId="40" fillId="0" borderId="0" xfId="7" applyNumberFormat="1" applyFill="1" applyBorder="1"/>
    <xf numFmtId="0" fontId="51" fillId="0" borderId="17" xfId="0" applyFont="1" applyBorder="1"/>
    <xf numFmtId="178" fontId="13" fillId="3" borderId="3" xfId="9" applyNumberFormat="1" applyFont="1" applyFill="1" applyBorder="1" applyAlignment="1">
      <alignment horizontal="left" vertical="top"/>
    </xf>
    <xf numFmtId="179" fontId="54" fillId="0" borderId="40" xfId="7" applyNumberFormat="1" applyFont="1" applyFill="1"/>
    <xf numFmtId="180" fontId="54" fillId="0" borderId="40" xfId="7" applyNumberFormat="1" applyFont="1" applyFill="1"/>
    <xf numFmtId="181" fontId="54" fillId="0" borderId="40" xfId="7" applyNumberFormat="1" applyFont="1" applyFill="1"/>
    <xf numFmtId="0" fontId="55" fillId="0" borderId="12" xfId="0" applyFont="1" applyBorder="1"/>
    <xf numFmtId="179" fontId="51" fillId="0" borderId="0" xfId="0" applyNumberFormat="1" applyFont="1"/>
    <xf numFmtId="0" fontId="56" fillId="0" borderId="0" xfId="0" applyFont="1"/>
    <xf numFmtId="0" fontId="50" fillId="24" borderId="0" xfId="0" applyFont="1" applyFill="1"/>
    <xf numFmtId="0" fontId="51" fillId="24" borderId="0" xfId="0" applyFont="1" applyFill="1"/>
    <xf numFmtId="0" fontId="0" fillId="24" borderId="0" xfId="0" applyFill="1"/>
    <xf numFmtId="1" fontId="13" fillId="3" borderId="3" xfId="2" applyNumberFormat="1" applyFont="1" applyBorder="1" applyAlignment="1">
      <alignment horizontal="left" vertical="top"/>
    </xf>
    <xf numFmtId="182" fontId="57" fillId="7" borderId="44" xfId="2" applyNumberFormat="1" applyFont="1" applyFill="1" applyBorder="1" applyAlignment="1">
      <alignment horizontal="right"/>
    </xf>
    <xf numFmtId="180" fontId="13" fillId="3" borderId="3" xfId="9" applyNumberFormat="1" applyFont="1" applyFill="1" applyBorder="1" applyAlignment="1">
      <alignment horizontal="left" vertical="top"/>
    </xf>
    <xf numFmtId="0" fontId="50" fillId="18" borderId="0" xfId="0" applyFont="1" applyFill="1"/>
    <xf numFmtId="0" fontId="51" fillId="18" borderId="0" xfId="0" applyFont="1" applyFill="1"/>
    <xf numFmtId="0" fontId="0" fillId="18" borderId="0" xfId="0" applyFill="1"/>
    <xf numFmtId="0" fontId="50" fillId="0" borderId="0" xfId="0" applyFont="1"/>
    <xf numFmtId="0" fontId="51" fillId="0" borderId="3" xfId="0" applyFont="1" applyBorder="1" applyAlignment="1">
      <alignment horizontal="left" vertical="center"/>
    </xf>
    <xf numFmtId="0" fontId="50" fillId="0" borderId="3" xfId="0" applyFont="1" applyBorder="1"/>
    <xf numFmtId="0" fontId="55" fillId="0" borderId="0" xfId="0" applyFont="1"/>
    <xf numFmtId="0" fontId="51" fillId="0" borderId="3" xfId="0" applyFont="1" applyBorder="1" applyAlignment="1">
      <alignment vertical="center"/>
    </xf>
    <xf numFmtId="0" fontId="51" fillId="0" borderId="3" xfId="0" applyFont="1" applyBorder="1" applyAlignment="1">
      <alignment horizontal="left"/>
    </xf>
    <xf numFmtId="0" fontId="51" fillId="0" borderId="0" xfId="0" applyFont="1" applyAlignment="1">
      <alignment horizontal="left"/>
    </xf>
    <xf numFmtId="182" fontId="50" fillId="0" borderId="0" xfId="0" applyNumberFormat="1" applyFont="1"/>
    <xf numFmtId="183" fontId="51" fillId="0" borderId="0" xfId="0" applyNumberFormat="1" applyFont="1"/>
    <xf numFmtId="1" fontId="51" fillId="0" borderId="0" xfId="0" applyNumberFormat="1" applyFont="1"/>
    <xf numFmtId="0" fontId="2" fillId="23" borderId="0" xfId="0" applyFont="1" applyFill="1"/>
    <xf numFmtId="0" fontId="42" fillId="0" borderId="0" xfId="8"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42" fillId="0" borderId="0" xfId="8" applyAlignment="1">
      <alignment vertical="top"/>
    </xf>
    <xf numFmtId="0" fontId="44" fillId="23" borderId="0" xfId="8" applyFont="1" applyFill="1"/>
    <xf numFmtId="0" fontId="2" fillId="0" borderId="0" xfId="0" applyFont="1" applyAlignment="1">
      <alignment wrapText="1"/>
    </xf>
    <xf numFmtId="0" fontId="0" fillId="0" borderId="0" xfId="0" applyAlignment="1">
      <alignment wrapText="1"/>
    </xf>
    <xf numFmtId="0" fontId="0" fillId="0" borderId="0" xfId="0" applyAlignment="1">
      <alignment vertical="center" wrapText="1"/>
    </xf>
    <xf numFmtId="0" fontId="49" fillId="22" borderId="18" xfId="0" applyFont="1" applyFill="1" applyBorder="1" applyAlignment="1">
      <alignment horizontal="center"/>
    </xf>
    <xf numFmtId="0" fontId="49" fillId="22" borderId="33" xfId="0" applyFont="1" applyFill="1" applyBorder="1" applyAlignment="1">
      <alignment horizontal="center"/>
    </xf>
    <xf numFmtId="0" fontId="2" fillId="21" borderId="7" xfId="0" applyFont="1" applyFill="1" applyBorder="1" applyAlignment="1">
      <alignment horizontal="left"/>
    </xf>
    <xf numFmtId="0" fontId="2" fillId="21" borderId="9" xfId="0" applyFont="1" applyFill="1" applyBorder="1" applyAlignment="1">
      <alignment horizontal="left"/>
    </xf>
    <xf numFmtId="165" fontId="12" fillId="0" borderId="17"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65" fontId="46" fillId="0" borderId="45" xfId="0" applyNumberFormat="1" applyFont="1" applyBorder="1" applyAlignment="1" applyProtection="1">
      <alignment horizontal="center" vertical="center" wrapText="1"/>
      <protection locked="0"/>
    </xf>
    <xf numFmtId="0" fontId="47" fillId="0" borderId="46" xfId="0" applyFont="1" applyBorder="1" applyAlignment="1">
      <alignment horizontal="center" vertical="center" wrapText="1"/>
    </xf>
    <xf numFmtId="0" fontId="47" fillId="0" borderId="47" xfId="0" applyFont="1" applyBorder="1" applyAlignment="1">
      <alignment horizontal="center" vertical="center" wrapText="1"/>
    </xf>
    <xf numFmtId="0" fontId="12" fillId="7" borderId="6" xfId="0" applyFont="1" applyFill="1" applyBorder="1" applyAlignment="1" applyProtection="1">
      <alignment horizontal="left"/>
      <protection locked="0"/>
    </xf>
    <xf numFmtId="0" fontId="12" fillId="7" borderId="0" xfId="0" applyFont="1" applyFill="1" applyAlignment="1" applyProtection="1">
      <alignment horizontal="left"/>
      <protection locked="0"/>
    </xf>
    <xf numFmtId="0" fontId="12" fillId="7" borderId="12" xfId="0" applyFont="1" applyFill="1" applyBorder="1" applyAlignment="1" applyProtection="1">
      <alignment horizontal="left"/>
      <protection locked="0"/>
    </xf>
    <xf numFmtId="0" fontId="2" fillId="7" borderId="6" xfId="0" applyFont="1" applyFill="1" applyBorder="1" applyAlignment="1" applyProtection="1">
      <alignment horizontal="left"/>
      <protection locked="0"/>
    </xf>
    <xf numFmtId="0" fontId="2" fillId="7" borderId="0" xfId="0" applyFont="1" applyFill="1" applyAlignment="1" applyProtection="1">
      <alignment horizontal="left"/>
      <protection locked="0"/>
    </xf>
    <xf numFmtId="0" fontId="2" fillId="7" borderId="12" xfId="0" applyFont="1" applyFill="1" applyBorder="1" applyAlignment="1" applyProtection="1">
      <alignment horizontal="left"/>
      <protection locked="0"/>
    </xf>
    <xf numFmtId="165" fontId="46" fillId="0" borderId="17" xfId="0" applyNumberFormat="1"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14" fillId="4" borderId="18" xfId="3" applyFon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29"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165" fontId="10" fillId="12" borderId="17" xfId="0"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173" fontId="29" fillId="0" borderId="18" xfId="0" applyNumberFormat="1" applyFont="1" applyBorder="1" applyAlignment="1" applyProtection="1">
      <alignment vertical="center"/>
      <protection locked="0"/>
    </xf>
    <xf numFmtId="0" fontId="0" fillId="0" borderId="13" xfId="0" applyBorder="1" applyAlignment="1" applyProtection="1">
      <alignment vertical="center"/>
      <protection locked="0"/>
    </xf>
    <xf numFmtId="0" fontId="1" fillId="7" borderId="0" xfId="0" applyFont="1" applyFill="1" applyAlignment="1" applyProtection="1">
      <alignment horizontal="center" wrapText="1"/>
      <protection locked="0"/>
    </xf>
    <xf numFmtId="0" fontId="1" fillId="0" borderId="0" xfId="0" applyFont="1" applyAlignment="1" applyProtection="1">
      <alignment horizontal="center" wrapText="1"/>
      <protection locked="0"/>
    </xf>
    <xf numFmtId="0" fontId="19" fillId="7" borderId="0" xfId="0" applyFont="1" applyFill="1" applyAlignment="1" applyProtection="1">
      <alignment horizontal="center" wrapText="1"/>
      <protection locked="0"/>
    </xf>
    <xf numFmtId="0" fontId="0" fillId="0" borderId="0" xfId="0" applyAlignment="1" applyProtection="1">
      <alignment horizontal="center"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34" fillId="9" borderId="37" xfId="5" applyFont="1" applyBorder="1" applyAlignment="1" applyProtection="1">
      <protection locked="0"/>
    </xf>
    <xf numFmtId="0" fontId="0" fillId="0" borderId="38" xfId="0" applyBorder="1" applyProtection="1">
      <protection locked="0"/>
    </xf>
    <xf numFmtId="0" fontId="0" fillId="0" borderId="39" xfId="0" applyBorder="1" applyProtection="1">
      <protection locked="0"/>
    </xf>
    <xf numFmtId="3" fontId="20" fillId="7" borderId="13" xfId="0" applyNumberFormat="1" applyFont="1" applyFill="1" applyBorder="1" applyProtection="1">
      <protection locked="0"/>
    </xf>
    <xf numFmtId="0" fontId="0" fillId="0" borderId="14" xfId="0" applyBorder="1" applyProtection="1">
      <protection locked="0"/>
    </xf>
    <xf numFmtId="3" fontId="20" fillId="7" borderId="0" xfId="0" applyNumberFormat="1" applyFont="1" applyFill="1" applyAlignment="1" applyProtection="1">
      <alignment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9" fillId="0" borderId="0" xfId="0" applyFont="1" applyAlignment="1" applyProtection="1">
      <alignment horizontal="center" wrapText="1"/>
      <protection locked="0"/>
    </xf>
    <xf numFmtId="173" fontId="29" fillId="0" borderId="13" xfId="0" applyNumberFormat="1" applyFont="1" applyBorder="1" applyAlignment="1" applyProtection="1">
      <alignment vertical="center"/>
      <protection locked="0"/>
    </xf>
    <xf numFmtId="165" fontId="12" fillId="0" borderId="2" xfId="0" applyNumberFormat="1" applyFont="1" applyBorder="1" applyAlignment="1" applyProtection="1">
      <alignment horizontal="center" vertical="center" wrapText="1"/>
      <protection locked="0"/>
    </xf>
    <xf numFmtId="0" fontId="50" fillId="0" borderId="3" xfId="0" applyFont="1" applyBorder="1" applyAlignment="1">
      <alignment horizontal="center"/>
    </xf>
    <xf numFmtId="0" fontId="50" fillId="0" borderId="7" xfId="0" applyFont="1" applyBorder="1" applyAlignment="1">
      <alignment horizontal="center"/>
    </xf>
    <xf numFmtId="0" fontId="50" fillId="0" borderId="9" xfId="0" applyFont="1" applyBorder="1" applyAlignment="1">
      <alignment horizontal="center"/>
    </xf>
    <xf numFmtId="177" fontId="8" fillId="4" borderId="1" xfId="3" applyNumberFormat="1"/>
    <xf numFmtId="0" fontId="51" fillId="0" borderId="7" xfId="0" applyFont="1" applyBorder="1" applyAlignment="1">
      <alignment horizontal="left" vertical="top" wrapText="1"/>
    </xf>
    <xf numFmtId="0" fontId="51" fillId="0" borderId="9" xfId="0" applyFont="1" applyBorder="1" applyAlignment="1">
      <alignment horizontal="left" vertical="top" wrapText="1"/>
    </xf>
    <xf numFmtId="0" fontId="8" fillId="4" borderId="1" xfId="3"/>
    <xf numFmtId="0" fontId="51" fillId="0" borderId="3" xfId="0" applyFont="1" applyBorder="1" applyAlignment="1">
      <alignment horizontal="left" vertical="top" wrapText="1"/>
    </xf>
    <xf numFmtId="0" fontId="51" fillId="0" borderId="3" xfId="0" applyFont="1" applyBorder="1" applyAlignment="1">
      <alignment horizontal="center" vertical="center"/>
    </xf>
    <xf numFmtId="177" fontId="45" fillId="4" borderId="1" xfId="3" applyNumberFormat="1" applyFont="1" applyAlignment="1">
      <alignment horizontal="center"/>
    </xf>
    <xf numFmtId="1" fontId="51" fillId="25" borderId="18" xfId="0" applyNumberFormat="1" applyFont="1" applyFill="1" applyBorder="1" applyAlignment="1">
      <alignment horizontal="center" vertical="center"/>
    </xf>
    <xf numFmtId="1" fontId="51" fillId="25" borderId="33" xfId="0" applyNumberFormat="1" applyFont="1" applyFill="1" applyBorder="1" applyAlignment="1">
      <alignment horizontal="center" vertical="center"/>
    </xf>
    <xf numFmtId="1" fontId="51" fillId="25" borderId="6" xfId="0" applyNumberFormat="1" applyFont="1" applyFill="1" applyBorder="1" applyAlignment="1">
      <alignment horizontal="center" vertical="center"/>
    </xf>
    <xf numFmtId="1" fontId="51" fillId="25" borderId="12" xfId="0" applyNumberFormat="1" applyFont="1" applyFill="1" applyBorder="1" applyAlignment="1">
      <alignment horizontal="center" vertical="center"/>
    </xf>
    <xf numFmtId="1" fontId="51" fillId="25" borderId="13" xfId="0" applyNumberFormat="1" applyFont="1" applyFill="1" applyBorder="1" applyAlignment="1">
      <alignment horizontal="center" vertical="center"/>
    </xf>
    <xf numFmtId="1" fontId="51" fillId="25" borderId="15" xfId="0" applyNumberFormat="1" applyFont="1" applyFill="1" applyBorder="1" applyAlignment="1">
      <alignment horizontal="center" vertical="center"/>
    </xf>
    <xf numFmtId="180" fontId="45" fillId="4" borderId="1" xfId="3" applyNumberFormat="1" applyFont="1"/>
    <xf numFmtId="0" fontId="50" fillId="0" borderId="18" xfId="0" applyFont="1" applyBorder="1" applyAlignment="1">
      <alignment horizontal="center"/>
    </xf>
    <xf numFmtId="0" fontId="50" fillId="0" borderId="33" xfId="0" applyFont="1" applyBorder="1" applyAlignment="1">
      <alignment horizontal="center"/>
    </xf>
    <xf numFmtId="0" fontId="58" fillId="0" borderId="18" xfId="0" applyFont="1" applyBorder="1" applyAlignment="1">
      <alignment horizontal="center"/>
    </xf>
    <xf numFmtId="0" fontId="58" fillId="0" borderId="33" xfId="0" applyFont="1" applyBorder="1" applyAlignment="1">
      <alignment horizontal="center"/>
    </xf>
    <xf numFmtId="182" fontId="45" fillId="4" borderId="1" xfId="3" applyNumberFormat="1" applyFont="1"/>
    <xf numFmtId="0" fontId="45" fillId="4" borderId="1" xfId="3" applyFont="1"/>
    <xf numFmtId="180" fontId="51" fillId="0" borderId="3" xfId="9" applyNumberFormat="1" applyFont="1" applyFill="1" applyBorder="1"/>
    <xf numFmtId="0" fontId="51" fillId="5" borderId="18" xfId="0" applyFont="1" applyFill="1" applyBorder="1" applyAlignment="1">
      <alignment horizontal="center" vertical="center"/>
    </xf>
    <xf numFmtId="0" fontId="51" fillId="5" borderId="33" xfId="0" applyFont="1" applyFill="1" applyBorder="1" applyAlignment="1">
      <alignment horizontal="center" vertical="center"/>
    </xf>
    <xf numFmtId="0" fontId="51" fillId="5" borderId="13" xfId="0" applyFont="1" applyFill="1" applyBorder="1" applyAlignment="1">
      <alignment horizontal="center" vertical="center"/>
    </xf>
    <xf numFmtId="0" fontId="51" fillId="5" borderId="15" xfId="0" applyFont="1" applyFill="1" applyBorder="1" applyAlignment="1">
      <alignment horizontal="center" vertical="center"/>
    </xf>
    <xf numFmtId="183" fontId="54" fillId="0" borderId="3" xfId="7" applyNumberFormat="1" applyFont="1" applyBorder="1"/>
    <xf numFmtId="183" fontId="54" fillId="0" borderId="3" xfId="7" applyNumberFormat="1" applyFont="1" applyBorder="1" applyAlignment="1">
      <alignment horizontal="center"/>
    </xf>
    <xf numFmtId="9" fontId="59" fillId="3" borderId="3" xfId="2" applyNumberFormat="1" applyFont="1" applyBorder="1"/>
    <xf numFmtId="0" fontId="59" fillId="3" borderId="3" xfId="2" applyFont="1" applyBorder="1"/>
    <xf numFmtId="183" fontId="45" fillId="4" borderId="3" xfId="3" applyNumberFormat="1" applyFont="1" applyBorder="1"/>
    <xf numFmtId="180" fontId="54" fillId="0" borderId="3" xfId="7" applyNumberFormat="1" applyFont="1" applyBorder="1"/>
    <xf numFmtId="180" fontId="45" fillId="4" borderId="3" xfId="3" applyNumberFormat="1" applyFont="1" applyBorder="1"/>
    <xf numFmtId="0" fontId="50" fillId="0" borderId="3" xfId="0" applyFont="1" applyBorder="1" applyAlignment="1">
      <alignment horizontal="left"/>
    </xf>
    <xf numFmtId="182" fontId="54" fillId="0" borderId="3" xfId="7" applyNumberFormat="1" applyFont="1" applyBorder="1"/>
    <xf numFmtId="9" fontId="54" fillId="0" borderId="3" xfId="7" applyNumberFormat="1" applyFont="1" applyBorder="1"/>
  </cellXfs>
  <cellStyles count="10">
    <cellStyle name="Calculation" xfId="3" builtinId="22"/>
    <cellStyle name="Check Cell" xfId="4" builtinId="23"/>
    <cellStyle name="Comma" xfId="9" builtinId="3"/>
    <cellStyle name="Good" xfId="6" builtinId="26"/>
    <cellStyle name="Hyperlink" xfId="8" builtinId="8"/>
    <cellStyle name="Input" xfId="2" builtinId="20"/>
    <cellStyle name="Linked Cell" xfId="7" builtinId="24"/>
    <cellStyle name="Normal" xfId="0" builtinId="0"/>
    <cellStyle name="Note" xfId="5" builtinId="1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Depreciation Methods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Calculations!$A$16</c:f>
              <c:strCache>
                <c:ptCount val="1"/>
                <c:pt idx="0">
                  <c:v>Straightline</c:v>
                </c:pt>
              </c:strCache>
            </c:strRef>
          </c:tx>
          <c:spPr>
            <a:ln w="28575" cap="rnd">
              <a:solidFill>
                <a:schemeClr val="accent2"/>
              </a:solidFill>
              <a:round/>
            </a:ln>
            <a:effectLst/>
          </c:spPr>
          <c:marker>
            <c:symbol val="none"/>
          </c:marker>
          <c:val>
            <c:numRef>
              <c:f>Calculations!$D$16:$AB$16</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8E1-45D8-B7C8-793945FD33C8}"/>
            </c:ext>
          </c:extLst>
        </c:ser>
        <c:ser>
          <c:idx val="2"/>
          <c:order val="1"/>
          <c:tx>
            <c:strRef>
              <c:f>Calculations!$A$17</c:f>
              <c:strCache>
                <c:ptCount val="1"/>
                <c:pt idx="0">
                  <c:v>Units of output</c:v>
                </c:pt>
              </c:strCache>
            </c:strRef>
          </c:tx>
          <c:spPr>
            <a:ln w="28575" cap="rnd">
              <a:solidFill>
                <a:schemeClr val="accent3"/>
              </a:solidFill>
              <a:round/>
            </a:ln>
            <a:effectLst/>
          </c:spPr>
          <c:marker>
            <c:symbol val="none"/>
          </c:marker>
          <c:val>
            <c:numRef>
              <c:f>Calculations!$D$17:$AB$17</c:f>
            </c:numRef>
          </c:val>
          <c:smooth val="0"/>
          <c:extLst>
            <c:ext xmlns:c16="http://schemas.microsoft.com/office/drawing/2014/chart" uri="{C3380CC4-5D6E-409C-BE32-E72D297353CC}">
              <c16:uniqueId val="{00000001-58E1-45D8-B7C8-793945FD33C8}"/>
            </c:ext>
          </c:extLst>
        </c:ser>
        <c:ser>
          <c:idx val="3"/>
          <c:order val="2"/>
          <c:tx>
            <c:strRef>
              <c:f>Calculations!$A$18</c:f>
              <c:strCache>
                <c:ptCount val="1"/>
                <c:pt idx="0">
                  <c:v>Annuity</c:v>
                </c:pt>
              </c:strCache>
            </c:strRef>
          </c:tx>
          <c:spPr>
            <a:ln w="28575" cap="rnd">
              <a:solidFill>
                <a:schemeClr val="accent4"/>
              </a:solidFill>
              <a:round/>
            </a:ln>
            <a:effectLst/>
          </c:spPr>
          <c:marker>
            <c:symbol val="none"/>
          </c:marker>
          <c:val>
            <c:numRef>
              <c:f>Calculations!$D$18:$AB$18</c:f>
            </c:numRef>
          </c:val>
          <c:smooth val="0"/>
          <c:extLst>
            <c:ext xmlns:c16="http://schemas.microsoft.com/office/drawing/2014/chart" uri="{C3380CC4-5D6E-409C-BE32-E72D297353CC}">
              <c16:uniqueId val="{00000002-58E1-45D8-B7C8-793945FD33C8}"/>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Outputs!$A$112:$A$112</c:f>
              <c:strCache>
                <c:ptCount val="1"/>
                <c:pt idx="0">
                  <c:v>Straightline</c:v>
                </c:pt>
              </c:strCache>
            </c:strRef>
          </c:tx>
          <c:spPr>
            <a:ln w="28575" cap="rnd">
              <a:solidFill>
                <a:schemeClr val="accent2"/>
              </a:solidFill>
              <a:round/>
            </a:ln>
            <a:effectLst/>
          </c:spPr>
          <c:marker>
            <c:symbol val="none"/>
          </c:marker>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CBE9-4035-AEB5-18A539E70B9A}"/>
            </c:ext>
          </c:extLst>
        </c:ser>
        <c:ser>
          <c:idx val="2"/>
          <c:order val="1"/>
          <c:tx>
            <c:strRef>
              <c:f>Outputs!$A$113:$A$113</c:f>
              <c:strCache>
                <c:ptCount val="1"/>
                <c:pt idx="0">
                  <c:v>Units of output</c:v>
                </c:pt>
              </c:strCache>
            </c:strRef>
          </c:tx>
          <c:spPr>
            <a:ln w="28575" cap="rnd">
              <a:solidFill>
                <a:schemeClr val="accent3"/>
              </a:solidFill>
              <a:round/>
            </a:ln>
            <a:effectLst/>
          </c:spPr>
          <c:marker>
            <c:symbol val="none"/>
          </c:marker>
          <c:val>
            <c:numRef>
              <c:f>Outputs!$C$113:$AA$113</c:f>
            </c:numRef>
          </c:val>
          <c:smooth val="0"/>
          <c:extLst>
            <c:ext xmlns:c16="http://schemas.microsoft.com/office/drawing/2014/chart" uri="{C3380CC4-5D6E-409C-BE32-E72D297353CC}">
              <c16:uniqueId val="{00000002-CBE9-4035-AEB5-18A539E70B9A}"/>
            </c:ext>
          </c:extLst>
        </c:ser>
        <c:ser>
          <c:idx val="3"/>
          <c:order val="2"/>
          <c:tx>
            <c:strRef>
              <c:f>Outputs!$A$114:$A$114</c:f>
              <c:strCache>
                <c:ptCount val="1"/>
                <c:pt idx="0">
                  <c:v>Annuity</c:v>
                </c:pt>
              </c:strCache>
            </c:strRef>
          </c:tx>
          <c:spPr>
            <a:ln w="28575" cap="rnd">
              <a:solidFill>
                <a:schemeClr val="accent4"/>
              </a:solidFill>
              <a:round/>
            </a:ln>
            <a:effectLst/>
          </c:spPr>
          <c:marker>
            <c:symbol val="none"/>
          </c:marker>
          <c:val>
            <c:numRef>
              <c:f>Outputs!$C$114:$AA$114</c:f>
            </c:numRef>
          </c:val>
          <c:smooth val="0"/>
          <c:extLst>
            <c:ext xmlns:c16="http://schemas.microsoft.com/office/drawing/2014/chart" uri="{C3380CC4-5D6E-409C-BE32-E72D297353CC}">
              <c16:uniqueId val="{00000003-CBE9-4035-AEB5-18A539E70B9A}"/>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1"/>
          <c:order val="0"/>
          <c:tx>
            <c:strRef>
              <c:f>Outputs!$A$112:$A$112</c:f>
              <c:strCache>
                <c:ptCount val="1"/>
                <c:pt idx="0">
                  <c:v>Straightline</c:v>
                </c:pt>
              </c:strCache>
            </c:strRef>
          </c:tx>
          <c:spPr>
            <a:solidFill>
              <a:srgbClr val="7030A0"/>
            </a:solidFill>
            <a:ln>
              <a:noFill/>
            </a:ln>
            <a:effectLst/>
          </c:spPr>
          <c:invertIfNegative val="0"/>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3DC-48B5-9AC6-73620BD230C9}"/>
            </c:ext>
          </c:extLst>
        </c:ser>
        <c:ser>
          <c:idx val="2"/>
          <c:order val="1"/>
          <c:tx>
            <c:strRef>
              <c:f>Outputs!$A$113:$A$113</c:f>
              <c:strCache>
                <c:ptCount val="1"/>
                <c:pt idx="0">
                  <c:v>Units of output</c:v>
                </c:pt>
              </c:strCache>
            </c:strRef>
          </c:tx>
          <c:spPr>
            <a:solidFill>
              <a:schemeClr val="accent3"/>
            </a:solidFill>
            <a:ln>
              <a:noFill/>
            </a:ln>
            <a:effectLst/>
          </c:spPr>
          <c:invertIfNegative val="0"/>
          <c:val>
            <c:numRef>
              <c:f>Outputs!$C$113:$AA$113</c:f>
            </c:numRef>
          </c:val>
          <c:extLst>
            <c:ext xmlns:c16="http://schemas.microsoft.com/office/drawing/2014/chart" uri="{C3380CC4-5D6E-409C-BE32-E72D297353CC}">
              <c16:uniqueId val="{00000001-B3DC-48B5-9AC6-73620BD230C9}"/>
            </c:ext>
          </c:extLst>
        </c:ser>
        <c:ser>
          <c:idx val="3"/>
          <c:order val="2"/>
          <c:tx>
            <c:strRef>
              <c:f>Outputs!$A$114:$A$114</c:f>
              <c:strCache>
                <c:ptCount val="1"/>
                <c:pt idx="0">
                  <c:v>Annuity</c:v>
                </c:pt>
              </c:strCache>
            </c:strRef>
          </c:tx>
          <c:spPr>
            <a:solidFill>
              <a:schemeClr val="accent4"/>
            </a:solidFill>
            <a:ln>
              <a:noFill/>
            </a:ln>
            <a:effectLst/>
          </c:spPr>
          <c:invertIfNegative val="0"/>
          <c:val>
            <c:numRef>
              <c:f>Outputs!$C$114:$AA$114</c:f>
            </c:numRef>
          </c:val>
          <c:extLst>
            <c:ext xmlns:c16="http://schemas.microsoft.com/office/drawing/2014/chart" uri="{C3380CC4-5D6E-409C-BE32-E72D297353CC}">
              <c16:uniqueId val="{00000002-B3DC-48B5-9AC6-73620BD230C9}"/>
            </c:ext>
          </c:extLst>
        </c:ser>
        <c:dLbls>
          <c:showLegendKey val="0"/>
          <c:showVal val="0"/>
          <c:showCatName val="0"/>
          <c:showSerName val="0"/>
          <c:showPercent val="0"/>
          <c:showBubbleSize val="0"/>
        </c:dLbls>
        <c:gapWidth val="150"/>
        <c:axId val="860612079"/>
        <c:axId val="860612495"/>
      </c:bar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r>
              <a:rPr lang="en-US" sz="1200" b="1" u="sng">
                <a:latin typeface="+mn-lt"/>
              </a:rPr>
              <a:t>Tariffs Over the 5-Year Control Period</a:t>
            </a:r>
          </a:p>
        </c:rich>
      </c:tx>
      <c:overlay val="0"/>
      <c:spPr>
        <a:noFill/>
        <a:ln>
          <a:noFill/>
        </a:ln>
        <a:effectLst/>
      </c:spPr>
      <c:txPr>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endParaRPr lang="en-001"/>
        </a:p>
      </c:txPr>
    </c:title>
    <c:autoTitleDeleted val="0"/>
    <c:plotArea>
      <c:layout/>
      <c:barChart>
        <c:barDir val="col"/>
        <c:grouping val="clustered"/>
        <c:varyColors val="0"/>
        <c:ser>
          <c:idx val="0"/>
          <c:order val="0"/>
          <c:tx>
            <c:strRef>
              <c:f>Outputs!$C$2</c:f>
              <c:strCache>
                <c:ptCount val="1"/>
                <c:pt idx="0">
                  <c:v>1 </c:v>
                </c:pt>
              </c:strCache>
            </c:strRef>
          </c:tx>
          <c:spPr>
            <a:solidFill>
              <a:schemeClr val="accent1"/>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Outputs!$C$7:$C$20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5-43F7-BF6D-79F78C600201}"/>
            </c:ext>
          </c:extLst>
        </c:ser>
        <c:ser>
          <c:idx val="1"/>
          <c:order val="1"/>
          <c:tx>
            <c:strRef>
              <c:f>Outputs!$D$2</c:f>
              <c:strCache>
                <c:ptCount val="1"/>
                <c:pt idx="0">
                  <c:v>2 </c:v>
                </c:pt>
              </c:strCache>
            </c:strRef>
          </c:tx>
          <c:spPr>
            <a:solidFill>
              <a:schemeClr val="accent2"/>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Outputs!$D$7:$D$20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5-43F7-BF6D-79F78C600201}"/>
            </c:ext>
          </c:extLst>
        </c:ser>
        <c:ser>
          <c:idx val="2"/>
          <c:order val="2"/>
          <c:tx>
            <c:strRef>
              <c:f>Outputs!$E$2</c:f>
              <c:strCache>
                <c:ptCount val="1"/>
                <c:pt idx="0">
                  <c:v>3 </c:v>
                </c:pt>
              </c:strCache>
            </c:strRef>
          </c:tx>
          <c:spPr>
            <a:solidFill>
              <a:schemeClr val="accent3"/>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Outputs!$E$7:$E$20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5-43F7-BF6D-79F78C600201}"/>
            </c:ext>
          </c:extLst>
        </c:ser>
        <c:ser>
          <c:idx val="3"/>
          <c:order val="3"/>
          <c:tx>
            <c:strRef>
              <c:f>Outputs!$F$2</c:f>
              <c:strCache>
                <c:ptCount val="1"/>
                <c:pt idx="0">
                  <c:v>4 </c:v>
                </c:pt>
              </c:strCache>
            </c:strRef>
          </c:tx>
          <c:spPr>
            <a:solidFill>
              <a:schemeClr val="accent4"/>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Outputs!$F$7:$F$20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2435-43F7-BF6D-79F78C600201}"/>
            </c:ext>
          </c:extLst>
        </c:ser>
        <c:ser>
          <c:idx val="4"/>
          <c:order val="4"/>
          <c:tx>
            <c:strRef>
              <c:f>Outputs!$G$2</c:f>
              <c:strCache>
                <c:ptCount val="1"/>
                <c:pt idx="0">
                  <c:v>5 </c:v>
                </c:pt>
              </c:strCache>
            </c:strRef>
          </c:tx>
          <c:spPr>
            <a:solidFill>
              <a:srgbClr val="FF0000"/>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Outputs!$G$7:$G$20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2435-43F7-BF6D-79F78C600201}"/>
            </c:ext>
          </c:extLst>
        </c:ser>
        <c:dLbls>
          <c:showLegendKey val="0"/>
          <c:showVal val="0"/>
          <c:showCatName val="0"/>
          <c:showSerName val="0"/>
          <c:showPercent val="0"/>
          <c:showBubbleSize val="0"/>
        </c:dLbls>
        <c:gapWidth val="247"/>
        <c:axId val="726125280"/>
        <c:axId val="726127360"/>
      </c:barChart>
      <c:catAx>
        <c:axId val="7261252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Tariffs Stucture in each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001"/>
          </a:p>
        </c:txPr>
        <c:crossAx val="726127360"/>
        <c:crosses val="autoZero"/>
        <c:auto val="1"/>
        <c:lblAlgn val="ctr"/>
        <c:lblOffset val="100"/>
        <c:noMultiLvlLbl val="0"/>
      </c:catAx>
      <c:valAx>
        <c:axId val="72612736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Amounts in</a:t>
                </a:r>
                <a:r>
                  <a:rPr lang="en-US" baseline="0"/>
                  <a:t> billing </a:t>
                </a:r>
                <a:r>
                  <a:rPr lang="en-US"/>
                  <a:t>currency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001"/>
          </a:p>
        </c:txPr>
        <c:crossAx val="726125280"/>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dk1">
                    <a:lumMod val="65000"/>
                    <a:lumOff val="35000"/>
                  </a:schemeClr>
                </a:solidFill>
                <a:latin typeface="+mn-lt"/>
                <a:ea typeface="+mn-ea"/>
                <a:cs typeface="+mn-cs"/>
              </a:defRPr>
            </a:pPr>
            <a:endParaRPr lang="en-001"/>
          </a:p>
        </c:txPr>
      </c:dTable>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Financial Indicators</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2"/>
          <c:order val="0"/>
          <c:tx>
            <c:strRef>
              <c:f>Outputs!$A$52</c:f>
              <c:strCache>
                <c:ptCount val="1"/>
                <c:pt idx="0">
                  <c:v>Debt Service Cover Ratio (DSCR)</c:v>
                </c:pt>
              </c:strCache>
            </c:strRef>
          </c:tx>
          <c:spPr>
            <a:ln w="28575" cap="rnd">
              <a:solidFill>
                <a:srgbClr val="00FF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Outputs!$B$52:$G$52</c15:sqref>
                  </c15:fullRef>
                </c:ext>
              </c:extLst>
              <c:f>Outputs!$C$52:$G$52</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601-4B05-AE38-7478942A88F0}"/>
            </c:ext>
          </c:extLst>
        </c:ser>
        <c:ser>
          <c:idx val="0"/>
          <c:order val="1"/>
          <c:tx>
            <c:strRef>
              <c:f>Outputs!$A$53</c:f>
              <c:strCache>
                <c:ptCount val="1"/>
                <c:pt idx="0">
                  <c:v>Benchmark DSCR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Outputs!$B$53:$G$53</c15:sqref>
                  </c15:fullRef>
                </c:ext>
              </c:extLst>
              <c:f>Outputs!$C$53:$G$53</c:f>
              <c:numCache>
                <c:formatCode>#,##0.00_ ;[Red]\-#,##0.00\ </c:formatCode>
                <c:ptCount val="5"/>
                <c:pt idx="0">
                  <c:v>1.25</c:v>
                </c:pt>
                <c:pt idx="1">
                  <c:v>1.25</c:v>
                </c:pt>
                <c:pt idx="2">
                  <c:v>1.25</c:v>
                </c:pt>
                <c:pt idx="3">
                  <c:v>1.25</c:v>
                </c:pt>
                <c:pt idx="4">
                  <c:v>1.25</c:v>
                </c:pt>
              </c:numCache>
            </c:numRef>
          </c:val>
          <c:smooth val="0"/>
          <c:extLst>
            <c:ext xmlns:c16="http://schemas.microsoft.com/office/drawing/2014/chart" uri="{C3380CC4-5D6E-409C-BE32-E72D297353CC}">
              <c16:uniqueId val="{00000001-7110-45BB-9074-1F5B35CE928B}"/>
            </c:ext>
          </c:extLst>
        </c:ser>
        <c:ser>
          <c:idx val="3"/>
          <c:order val="2"/>
          <c:tx>
            <c:strRef>
              <c:f>Outputs!$A$54</c:f>
              <c:strCache>
                <c:ptCount val="1"/>
                <c:pt idx="0">
                  <c:v>Interest Cover Ratio</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Outputs!$B$54:$G$54</c15:sqref>
                  </c15:fullRef>
                </c:ext>
              </c:extLst>
              <c:f>Outputs!$C$54:$G$54</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5601-4B05-AE38-7478942A88F0}"/>
            </c:ext>
          </c:extLst>
        </c:ser>
        <c:ser>
          <c:idx val="1"/>
          <c:order val="3"/>
          <c:tx>
            <c:strRef>
              <c:f>Outputs!$A$55</c:f>
              <c:strCache>
                <c:ptCount val="1"/>
                <c:pt idx="0">
                  <c:v>Benchmark Interest Cover Ratio</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Outputs!$B$55:$G$55</c15:sqref>
                  </c15:fullRef>
                </c:ext>
              </c:extLst>
              <c:f>Outputs!$C$55:$G$55</c:f>
              <c:numCache>
                <c:formatCode>#,##0.00_ ;[Red]\-#,##0.00\ </c:formatCode>
                <c:ptCount val="5"/>
                <c:pt idx="0">
                  <c:v>2</c:v>
                </c:pt>
                <c:pt idx="1">
                  <c:v>2</c:v>
                </c:pt>
                <c:pt idx="2">
                  <c:v>2</c:v>
                </c:pt>
                <c:pt idx="3">
                  <c:v>2</c:v>
                </c:pt>
                <c:pt idx="4">
                  <c:v>2</c:v>
                </c:pt>
              </c:numCache>
            </c:numRef>
          </c:val>
          <c:smooth val="0"/>
          <c:extLst>
            <c:ext xmlns:c16="http://schemas.microsoft.com/office/drawing/2014/chart" uri="{C3380CC4-5D6E-409C-BE32-E72D297353CC}">
              <c16:uniqueId val="{00000002-7110-45BB-9074-1F5B35CE928B}"/>
            </c:ext>
          </c:extLst>
        </c:ser>
        <c:dLbls>
          <c:dLblPos val="ctr"/>
          <c:showLegendKey val="0"/>
          <c:showVal val="1"/>
          <c:showCatName val="0"/>
          <c:showSerName val="0"/>
          <c:showPercent val="0"/>
          <c:showBubbleSize val="0"/>
        </c:dLbls>
        <c:smooth val="0"/>
        <c:axId val="734036432"/>
        <c:axId val="734039760"/>
      </c:lineChart>
      <c:catAx>
        <c:axId val="734036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9760"/>
        <c:crosses val="autoZero"/>
        <c:auto val="1"/>
        <c:lblAlgn val="ctr"/>
        <c:lblOffset val="100"/>
        <c:noMultiLvlLbl val="0"/>
      </c:catAx>
      <c:valAx>
        <c:axId val="73403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Ratio/Number of times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u="sng"/>
              <a:t>Mini grid</a:t>
            </a:r>
            <a:r>
              <a:rPr lang="en-US" sz="1200" b="1" u="sng" baseline="0"/>
              <a:t> Valuation</a:t>
            </a:r>
            <a:endParaRPr lang="en-US" sz="1200" b="1" u="sng"/>
          </a:p>
        </c:rich>
      </c:tx>
      <c:layout>
        <c:manualLayout>
          <c:xMode val="edge"/>
          <c:yMode val="edge"/>
          <c:x val="0.4492687416842977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Outputs!$A$84</c:f>
              <c:strCache>
                <c:ptCount val="1"/>
                <c:pt idx="0">
                  <c:v>Generation Assets Valuation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Outputs!$B$84:$G$84</c15:sqref>
                  </c15:fullRef>
                </c:ext>
              </c:extLst>
              <c:f>Outputs!$C$84:$G$84</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BB15-4D88-BCE8-38BB82814CC4}"/>
            </c:ext>
          </c:extLst>
        </c:ser>
        <c:ser>
          <c:idx val="2"/>
          <c:order val="1"/>
          <c:tx>
            <c:strRef>
              <c:f>Outputs!$A$85</c:f>
              <c:strCache>
                <c:ptCount val="1"/>
                <c:pt idx="0">
                  <c:v>Distribution Assets Valuation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Outputs!$B$85:$G$85</c15:sqref>
                  </c15:fullRef>
                </c:ext>
              </c:extLst>
              <c:f>Outputs!$C$85:$G$85</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2-BB15-4D88-BCE8-38BB82814CC4}"/>
            </c:ext>
          </c:extLst>
        </c:ser>
        <c:ser>
          <c:idx val="3"/>
          <c:order val="2"/>
          <c:tx>
            <c:strRef>
              <c:f>Outputs!$A$86</c:f>
              <c:strCache>
                <c:ptCount val="1"/>
                <c:pt idx="0">
                  <c:v>Metering and termination Assets Valuation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Outputs!$B$86:$G$86</c15:sqref>
                  </c15:fullRef>
                </c:ext>
              </c:extLst>
              <c:f>Outputs!$C$86:$G$86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3-BB15-4D88-BCE8-38BB82814CC4}"/>
            </c:ext>
          </c:extLst>
        </c:ser>
        <c:dLbls>
          <c:dLblPos val="ctr"/>
          <c:showLegendKey val="0"/>
          <c:showVal val="1"/>
          <c:showCatName val="0"/>
          <c:showSerName val="0"/>
          <c:showPercent val="0"/>
          <c:showBubbleSize val="0"/>
        </c:dLbls>
        <c:gapWidth val="150"/>
        <c:overlap val="100"/>
        <c:axId val="734018128"/>
        <c:axId val="734030608"/>
      </c:barChart>
      <c:catAx>
        <c:axId val="734018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0608"/>
        <c:crosses val="autoZero"/>
        <c:auto val="1"/>
        <c:lblAlgn val="ctr"/>
        <c:lblOffset val="100"/>
        <c:noMultiLvlLbl val="0"/>
      </c:catAx>
      <c:valAx>
        <c:axId val="734030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 in</a:t>
                </a:r>
                <a:r>
                  <a:rPr lang="en-US" baseline="0"/>
                  <a:t> Billing</a:t>
                </a:r>
                <a:r>
                  <a:rPr lang="en-US"/>
                  <a:t> Currency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1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r>
              <a:rPr lang="en-US" sz="1050" b="1" u="sng"/>
              <a:t>CFADS against Actual Debt Service Obligation</a:t>
            </a:r>
          </a:p>
        </c:rich>
      </c:tx>
      <c:overlay val="0"/>
      <c:spPr>
        <a:noFill/>
        <a:ln>
          <a:noFill/>
        </a:ln>
        <a:effectLst/>
      </c:spPr>
      <c:txPr>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0"/>
          <c:order val="0"/>
          <c:tx>
            <c:strRef>
              <c:f>Outputs!$A$56</c:f>
              <c:strCache>
                <c:ptCount val="1"/>
                <c:pt idx="0">
                  <c:v>CFADS</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Outputs!$C$56:$G$56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0-769E-4E58-9719-F6022977BA0E}"/>
            </c:ext>
          </c:extLst>
        </c:ser>
        <c:ser>
          <c:idx val="1"/>
          <c:order val="1"/>
          <c:tx>
            <c:strRef>
              <c:f>Calculations!$A$127</c:f>
              <c:strCache>
                <c:ptCount val="1"/>
                <c:pt idx="0">
                  <c:v>Debt Service (Principal and Interest)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Calculations!$D$127:$H$127</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769E-4E58-9719-F6022977BA0E}"/>
            </c:ext>
          </c:extLst>
        </c:ser>
        <c:dLbls>
          <c:dLblPos val="inEnd"/>
          <c:showLegendKey val="0"/>
          <c:showVal val="1"/>
          <c:showCatName val="0"/>
          <c:showSerName val="0"/>
          <c:showPercent val="0"/>
          <c:showBubbleSize val="0"/>
        </c:dLbls>
        <c:gapWidth val="219"/>
        <c:axId val="1302267744"/>
        <c:axId val="1302271072"/>
      </c:barChart>
      <c:catAx>
        <c:axId val="1302267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71072"/>
        <c:crosses val="autoZero"/>
        <c:auto val="1"/>
        <c:lblAlgn val="ctr"/>
        <c:lblOffset val="100"/>
        <c:noMultiLvlLbl val="0"/>
      </c:catAx>
      <c:valAx>
        <c:axId val="130227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67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E685B0D-05CF-405C-B3F2-168CB508385D}" type="doc">
      <dgm:prSet loTypeId="urn:microsoft.com/office/officeart/2005/8/layout/hProcess4" loCatId="process" qsTypeId="urn:microsoft.com/office/officeart/2005/8/quickstyle/simple1" qsCatId="simple" csTypeId="urn:microsoft.com/office/officeart/2005/8/colors/colorful1" csCatId="colorful" phldr="1"/>
      <dgm:spPr/>
      <dgm:t>
        <a:bodyPr/>
        <a:lstStyle/>
        <a:p>
          <a:endParaRPr lang="en-ZA"/>
        </a:p>
      </dgm:t>
    </dgm:pt>
    <dgm:pt modelId="{BE23C3A3-615C-444E-9654-945F35820CA6}">
      <dgm:prSet phldrT="[Text]"/>
      <dgm:spPr/>
      <dgm:t>
        <a:bodyPr/>
        <a:lstStyle/>
        <a:p>
          <a:r>
            <a:rPr lang="en-ZA"/>
            <a:t>Inputs</a:t>
          </a:r>
        </a:p>
      </dgm:t>
    </dgm:pt>
    <dgm:pt modelId="{4510D2E0-973A-4645-905C-8A72D1A1D8A9}" type="parTrans" cxnId="{DFD873DF-C6F6-4A78-944F-1C8E564B7EEF}">
      <dgm:prSet/>
      <dgm:spPr/>
      <dgm:t>
        <a:bodyPr/>
        <a:lstStyle/>
        <a:p>
          <a:endParaRPr lang="en-ZA"/>
        </a:p>
      </dgm:t>
    </dgm:pt>
    <dgm:pt modelId="{45B87E64-4FD7-4D66-A3D8-B7C3D0142A10}" type="sibTrans" cxnId="{DFD873DF-C6F6-4A78-944F-1C8E564B7EEF}">
      <dgm:prSet/>
      <dgm:spPr/>
      <dgm:t>
        <a:bodyPr/>
        <a:lstStyle/>
        <a:p>
          <a:endParaRPr lang="en-ZA"/>
        </a:p>
      </dgm:t>
    </dgm:pt>
    <dgm:pt modelId="{2E6F8871-25DC-49B0-B235-8DC5D22666BC}">
      <dgm:prSet phldrT="[Text]" custT="1"/>
      <dgm:spPr>
        <a:solidFill>
          <a:schemeClr val="accent4">
            <a:lumMod val="60000"/>
            <a:lumOff val="40000"/>
            <a:alpha val="90000"/>
          </a:schemeClr>
        </a:solidFill>
      </dgm:spPr>
      <dgm:t>
        <a:bodyPr/>
        <a:lstStyle/>
        <a:p>
          <a:r>
            <a:rPr lang="en-ZA" sz="900"/>
            <a:t>Plant capacity/performance </a:t>
          </a:r>
          <a:r>
            <a:rPr lang="en-ZA" sz="900">
              <a:solidFill>
                <a:srgbClr val="FF0000"/>
              </a:solidFill>
            </a:rPr>
            <a:t>(1.1)</a:t>
          </a:r>
        </a:p>
      </dgm:t>
    </dgm:pt>
    <dgm:pt modelId="{0B2E0B0E-C1CF-4E69-A4A5-6AB4A6BB638C}" type="parTrans" cxnId="{3AA76189-9E3D-489C-BFFA-2C15044C6EFE}">
      <dgm:prSet/>
      <dgm:spPr/>
      <dgm:t>
        <a:bodyPr/>
        <a:lstStyle/>
        <a:p>
          <a:endParaRPr lang="en-ZA"/>
        </a:p>
      </dgm:t>
    </dgm:pt>
    <dgm:pt modelId="{D4DA6CFE-397E-47BD-8767-A6C6FE8E22EE}" type="sibTrans" cxnId="{3AA76189-9E3D-489C-BFFA-2C15044C6EFE}">
      <dgm:prSet/>
      <dgm:spPr/>
      <dgm:t>
        <a:bodyPr/>
        <a:lstStyle/>
        <a:p>
          <a:endParaRPr lang="en-ZA"/>
        </a:p>
      </dgm:t>
    </dgm:pt>
    <dgm:pt modelId="{5A16A0BA-9FC5-4302-8521-B69A5E1F94AF}">
      <dgm:prSet phldrT="[Text]" custT="1"/>
      <dgm:spPr>
        <a:solidFill>
          <a:schemeClr val="accent4">
            <a:lumMod val="60000"/>
            <a:lumOff val="40000"/>
            <a:alpha val="90000"/>
          </a:schemeClr>
        </a:solidFill>
      </dgm:spPr>
      <dgm:t>
        <a:bodyPr/>
        <a:lstStyle/>
        <a:p>
          <a:r>
            <a:rPr lang="en-ZA" sz="900"/>
            <a:t>Operating and maintenance costs</a:t>
          </a:r>
          <a:r>
            <a:rPr lang="en-ZA" sz="900">
              <a:solidFill>
                <a:srgbClr val="FF0000"/>
              </a:solidFill>
            </a:rPr>
            <a:t>(1.4)</a:t>
          </a:r>
        </a:p>
      </dgm:t>
    </dgm:pt>
    <dgm:pt modelId="{94F05721-4497-48A3-A029-FAA47E7D8A08}" type="parTrans" cxnId="{BDC2DE0F-A07E-4457-8968-BED08735CDE6}">
      <dgm:prSet/>
      <dgm:spPr/>
      <dgm:t>
        <a:bodyPr/>
        <a:lstStyle/>
        <a:p>
          <a:endParaRPr lang="en-ZA"/>
        </a:p>
      </dgm:t>
    </dgm:pt>
    <dgm:pt modelId="{0F3741A1-60D0-4187-A4F2-924603F2EBBD}" type="sibTrans" cxnId="{BDC2DE0F-A07E-4457-8968-BED08735CDE6}">
      <dgm:prSet/>
      <dgm:spPr/>
      <dgm:t>
        <a:bodyPr/>
        <a:lstStyle/>
        <a:p>
          <a:endParaRPr lang="en-ZA"/>
        </a:p>
      </dgm:t>
    </dgm:pt>
    <dgm:pt modelId="{AC2328A0-7C99-4E4A-80E7-DDC03963363C}">
      <dgm:prSet phldrT="[Text]"/>
      <dgm:spPr/>
      <dgm:t>
        <a:bodyPr/>
        <a:lstStyle/>
        <a:p>
          <a:r>
            <a:rPr lang="en-ZA"/>
            <a:t>Calculations</a:t>
          </a:r>
        </a:p>
      </dgm:t>
    </dgm:pt>
    <dgm:pt modelId="{2F6BE1BE-7953-4992-9D58-E06F19D8C54C}" type="parTrans" cxnId="{E390C1B3-147F-44AA-983A-5787AB7F1789}">
      <dgm:prSet/>
      <dgm:spPr/>
      <dgm:t>
        <a:bodyPr/>
        <a:lstStyle/>
        <a:p>
          <a:endParaRPr lang="en-ZA"/>
        </a:p>
      </dgm:t>
    </dgm:pt>
    <dgm:pt modelId="{D210A0E9-EC09-404D-AE95-9D0F3C7746F9}" type="sibTrans" cxnId="{E390C1B3-147F-44AA-983A-5787AB7F1789}">
      <dgm:prSet/>
      <dgm:spPr/>
      <dgm:t>
        <a:bodyPr/>
        <a:lstStyle/>
        <a:p>
          <a:endParaRPr lang="en-ZA"/>
        </a:p>
      </dgm:t>
    </dgm:pt>
    <dgm:pt modelId="{1BA3F61E-0DC4-4371-A565-B61778F79F3B}">
      <dgm:prSet phldrT="[Text]"/>
      <dgm:spPr>
        <a:solidFill>
          <a:schemeClr val="accent5">
            <a:lumMod val="20000"/>
            <a:lumOff val="80000"/>
            <a:alpha val="90000"/>
          </a:schemeClr>
        </a:solidFill>
      </dgm:spPr>
      <dgm:t>
        <a:bodyPr/>
        <a:lstStyle/>
        <a:p>
          <a:r>
            <a:rPr lang="en-ZA"/>
            <a:t>Net energy output/sold </a:t>
          </a:r>
          <a:r>
            <a:rPr lang="en-ZA">
              <a:solidFill>
                <a:srgbClr val="FF0000"/>
              </a:solidFill>
            </a:rPr>
            <a:t>(2.1)</a:t>
          </a:r>
        </a:p>
      </dgm:t>
    </dgm:pt>
    <dgm:pt modelId="{04C29E06-50B3-449D-9B85-B6B128530B34}" type="parTrans" cxnId="{5D37CF88-B9FB-42F8-953B-BE71CE67B668}">
      <dgm:prSet/>
      <dgm:spPr/>
      <dgm:t>
        <a:bodyPr/>
        <a:lstStyle/>
        <a:p>
          <a:endParaRPr lang="en-ZA"/>
        </a:p>
      </dgm:t>
    </dgm:pt>
    <dgm:pt modelId="{50070188-A063-4E8E-A5E5-740201AC908B}" type="sibTrans" cxnId="{5D37CF88-B9FB-42F8-953B-BE71CE67B668}">
      <dgm:prSet/>
      <dgm:spPr/>
      <dgm:t>
        <a:bodyPr/>
        <a:lstStyle/>
        <a:p>
          <a:endParaRPr lang="en-ZA"/>
        </a:p>
      </dgm:t>
    </dgm:pt>
    <dgm:pt modelId="{73191FC9-4A9F-4831-A9E0-44D5A852EFB9}">
      <dgm:prSet phldrT="[Text]"/>
      <dgm:spPr>
        <a:solidFill>
          <a:schemeClr val="accent5">
            <a:lumMod val="20000"/>
            <a:lumOff val="80000"/>
            <a:alpha val="90000"/>
          </a:schemeClr>
        </a:solidFill>
      </dgm:spPr>
      <dgm:t>
        <a:bodyPr/>
        <a:lstStyle/>
        <a:p>
          <a:r>
            <a:rPr lang="en-ZA"/>
            <a:t>Revenue Requirement </a:t>
          </a:r>
          <a:r>
            <a:rPr lang="en-ZA">
              <a:solidFill>
                <a:srgbClr val="FF0000"/>
              </a:solidFill>
            </a:rPr>
            <a:t>(2.3)</a:t>
          </a:r>
        </a:p>
      </dgm:t>
    </dgm:pt>
    <dgm:pt modelId="{3EE8E6F5-6B83-4350-8E26-7B339203D056}" type="parTrans" cxnId="{794207E0-C3D6-4D37-B666-014656DE2A58}">
      <dgm:prSet/>
      <dgm:spPr/>
      <dgm:t>
        <a:bodyPr/>
        <a:lstStyle/>
        <a:p>
          <a:endParaRPr lang="en-ZA"/>
        </a:p>
      </dgm:t>
    </dgm:pt>
    <dgm:pt modelId="{78FE9B96-F63B-446B-B925-095D7C01750A}" type="sibTrans" cxnId="{794207E0-C3D6-4D37-B666-014656DE2A58}">
      <dgm:prSet/>
      <dgm:spPr/>
      <dgm:t>
        <a:bodyPr/>
        <a:lstStyle/>
        <a:p>
          <a:endParaRPr lang="en-ZA"/>
        </a:p>
      </dgm:t>
    </dgm:pt>
    <dgm:pt modelId="{C1797981-BA02-4221-AD0F-2313CD7ACF86}">
      <dgm:prSet phldrT="[Text]"/>
      <dgm:spPr>
        <a:solidFill>
          <a:srgbClr val="92D050"/>
        </a:solidFill>
      </dgm:spPr>
      <dgm:t>
        <a:bodyPr/>
        <a:lstStyle/>
        <a:p>
          <a:r>
            <a:rPr lang="en-ZA"/>
            <a:t>Outputs</a:t>
          </a:r>
        </a:p>
      </dgm:t>
    </dgm:pt>
    <dgm:pt modelId="{BA9FD203-3E69-4EFA-BC57-17530CEE3BE2}" type="parTrans" cxnId="{F15FD5F8-800E-4D7D-A451-EC14C0F2C950}">
      <dgm:prSet/>
      <dgm:spPr/>
      <dgm:t>
        <a:bodyPr/>
        <a:lstStyle/>
        <a:p>
          <a:endParaRPr lang="en-ZA"/>
        </a:p>
      </dgm:t>
    </dgm:pt>
    <dgm:pt modelId="{9AB86336-6279-46FC-9D57-ACE00AED4410}" type="sibTrans" cxnId="{F15FD5F8-800E-4D7D-A451-EC14C0F2C950}">
      <dgm:prSet/>
      <dgm:spPr/>
      <dgm:t>
        <a:bodyPr/>
        <a:lstStyle/>
        <a:p>
          <a:endParaRPr lang="en-ZA"/>
        </a:p>
      </dgm:t>
    </dgm:pt>
    <dgm:pt modelId="{3C57CAB1-52DC-4CA4-AD88-C543CA07BAB6}">
      <dgm:prSet phldrT="[Text]" custT="1"/>
      <dgm:spPr>
        <a:solidFill>
          <a:srgbClr val="00FF00">
            <a:alpha val="90000"/>
          </a:srgbClr>
        </a:solidFill>
      </dgm:spPr>
      <dgm:t>
        <a:bodyPr/>
        <a:lstStyle/>
        <a:p>
          <a:r>
            <a:rPr lang="en-ZA" sz="900"/>
            <a:t>Tariffs and tariff structures </a:t>
          </a:r>
          <a:r>
            <a:rPr lang="en-ZA" sz="900">
              <a:solidFill>
                <a:srgbClr val="FF0000"/>
              </a:solidFill>
            </a:rPr>
            <a:t>(3.1)</a:t>
          </a:r>
        </a:p>
      </dgm:t>
    </dgm:pt>
    <dgm:pt modelId="{7FF7DCA8-445E-4918-80D3-F840E1109555}" type="parTrans" cxnId="{E149495E-FC14-4C6A-AF9A-C188B8CB59F8}">
      <dgm:prSet/>
      <dgm:spPr/>
      <dgm:t>
        <a:bodyPr/>
        <a:lstStyle/>
        <a:p>
          <a:endParaRPr lang="en-ZA"/>
        </a:p>
      </dgm:t>
    </dgm:pt>
    <dgm:pt modelId="{41D07190-3DA0-4D4D-9957-F14102DFE1B3}" type="sibTrans" cxnId="{E149495E-FC14-4C6A-AF9A-C188B8CB59F8}">
      <dgm:prSet/>
      <dgm:spPr/>
      <dgm:t>
        <a:bodyPr/>
        <a:lstStyle/>
        <a:p>
          <a:endParaRPr lang="en-ZA"/>
        </a:p>
      </dgm:t>
    </dgm:pt>
    <dgm:pt modelId="{1947CC2A-3DDC-4F48-8675-A36C5C13C4B1}">
      <dgm:prSet phldrT="[Text]" custT="1"/>
      <dgm:spPr>
        <a:solidFill>
          <a:schemeClr val="accent4">
            <a:lumMod val="60000"/>
            <a:lumOff val="40000"/>
            <a:alpha val="90000"/>
          </a:schemeClr>
        </a:solidFill>
      </dgm:spPr>
      <dgm:t>
        <a:bodyPr/>
        <a:lstStyle/>
        <a:p>
          <a:r>
            <a:rPr lang="en-ZA" sz="900"/>
            <a:t>Financing information</a:t>
          </a:r>
          <a:r>
            <a:rPr lang="en-ZA" sz="900">
              <a:solidFill>
                <a:srgbClr val="FF0000"/>
              </a:solidFill>
            </a:rPr>
            <a:t>(1.7)</a:t>
          </a:r>
        </a:p>
      </dgm:t>
    </dgm:pt>
    <dgm:pt modelId="{1FA5601F-660C-4EAB-8774-95FEBF71E323}" type="parTrans" cxnId="{81848DE1-C0A5-47C7-BA55-BCFBC4107D76}">
      <dgm:prSet/>
      <dgm:spPr/>
      <dgm:t>
        <a:bodyPr/>
        <a:lstStyle/>
        <a:p>
          <a:endParaRPr lang="en-ZA"/>
        </a:p>
      </dgm:t>
    </dgm:pt>
    <dgm:pt modelId="{F802D25D-1098-4AE5-A8FE-F72CD3E3903B}" type="sibTrans" cxnId="{81848DE1-C0A5-47C7-BA55-BCFBC4107D76}">
      <dgm:prSet/>
      <dgm:spPr/>
      <dgm:t>
        <a:bodyPr/>
        <a:lstStyle/>
        <a:p>
          <a:endParaRPr lang="en-ZA"/>
        </a:p>
      </dgm:t>
    </dgm:pt>
    <dgm:pt modelId="{15D9BCA0-4793-4161-9A7E-B12BC12E9A28}">
      <dgm:prSet phldrT="[Text]"/>
      <dgm:spPr>
        <a:solidFill>
          <a:schemeClr val="accent5">
            <a:lumMod val="20000"/>
            <a:lumOff val="80000"/>
            <a:alpha val="90000"/>
          </a:schemeClr>
        </a:solidFill>
      </dgm:spPr>
      <dgm:t>
        <a:bodyPr/>
        <a:lstStyle/>
        <a:p>
          <a:r>
            <a:rPr lang="en-ZA"/>
            <a:t>Mini grid valuation </a:t>
          </a:r>
          <a:r>
            <a:rPr lang="en-ZA">
              <a:solidFill>
                <a:srgbClr val="FF0000"/>
              </a:solidFill>
            </a:rPr>
            <a:t>(2.5)</a:t>
          </a:r>
        </a:p>
      </dgm:t>
    </dgm:pt>
    <dgm:pt modelId="{97A2FE42-3312-45AC-B8CE-8BB6640F3689}" type="parTrans" cxnId="{439906A5-F534-4C8F-9161-861D89DB60F2}">
      <dgm:prSet/>
      <dgm:spPr/>
      <dgm:t>
        <a:bodyPr/>
        <a:lstStyle/>
        <a:p>
          <a:endParaRPr lang="en-ZA"/>
        </a:p>
      </dgm:t>
    </dgm:pt>
    <dgm:pt modelId="{5F4B3C11-7EBA-4784-988F-FAB01AEB44D7}" type="sibTrans" cxnId="{439906A5-F534-4C8F-9161-861D89DB60F2}">
      <dgm:prSet/>
      <dgm:spPr/>
      <dgm:t>
        <a:bodyPr/>
        <a:lstStyle/>
        <a:p>
          <a:endParaRPr lang="en-ZA"/>
        </a:p>
      </dgm:t>
    </dgm:pt>
    <dgm:pt modelId="{96FD5A85-1E20-4C2D-BD52-9DC001214E15}">
      <dgm:prSet phldrT="[Text]" custT="1"/>
      <dgm:spPr>
        <a:solidFill>
          <a:srgbClr val="00FF00">
            <a:alpha val="90000"/>
          </a:srgbClr>
        </a:solidFill>
      </dgm:spPr>
      <dgm:t>
        <a:bodyPr/>
        <a:lstStyle/>
        <a:p>
          <a:r>
            <a:rPr lang="en-ZA" sz="900"/>
            <a:t>Financial indicators </a:t>
          </a:r>
          <a:r>
            <a:rPr lang="en-ZA" sz="900">
              <a:solidFill>
                <a:srgbClr val="FF0000"/>
              </a:solidFill>
            </a:rPr>
            <a:t>(3.2)</a:t>
          </a:r>
        </a:p>
      </dgm:t>
    </dgm:pt>
    <dgm:pt modelId="{234D8A94-4A0E-4C87-85D8-A5870D2D9A39}" type="parTrans" cxnId="{4FAA1892-9738-4881-BDE5-57B0BA8FCAA7}">
      <dgm:prSet/>
      <dgm:spPr/>
      <dgm:t>
        <a:bodyPr/>
        <a:lstStyle/>
        <a:p>
          <a:endParaRPr lang="en-ZA"/>
        </a:p>
      </dgm:t>
    </dgm:pt>
    <dgm:pt modelId="{D3DC4482-27F3-4D04-9625-BAA1EA7136B1}" type="sibTrans" cxnId="{4FAA1892-9738-4881-BDE5-57B0BA8FCAA7}">
      <dgm:prSet/>
      <dgm:spPr/>
      <dgm:t>
        <a:bodyPr/>
        <a:lstStyle/>
        <a:p>
          <a:endParaRPr lang="en-ZA"/>
        </a:p>
      </dgm:t>
    </dgm:pt>
    <dgm:pt modelId="{DA1C945C-3DB9-44D8-86E9-C122A8032771}">
      <dgm:prSet phldrT="[Text]" custT="1"/>
      <dgm:spPr>
        <a:solidFill>
          <a:srgbClr val="00FF00">
            <a:alpha val="90000"/>
          </a:srgbClr>
        </a:solidFill>
      </dgm:spPr>
      <dgm:t>
        <a:bodyPr/>
        <a:lstStyle/>
        <a:p>
          <a:r>
            <a:rPr lang="en-ZA" sz="900"/>
            <a:t>Tool User Guide </a:t>
          </a:r>
          <a:r>
            <a:rPr lang="en-ZA" sz="900">
              <a:solidFill>
                <a:srgbClr val="FF0000"/>
              </a:solidFill>
            </a:rPr>
            <a:t>(this tab)</a:t>
          </a:r>
        </a:p>
      </dgm:t>
    </dgm:pt>
    <dgm:pt modelId="{BA03F99C-3EDA-481F-A8C9-785437A562F3}" type="parTrans" cxnId="{113FFEAB-4148-4A5D-B773-ECBEB0165C5A}">
      <dgm:prSet/>
      <dgm:spPr/>
      <dgm:t>
        <a:bodyPr/>
        <a:lstStyle/>
        <a:p>
          <a:endParaRPr lang="en-ZA"/>
        </a:p>
      </dgm:t>
    </dgm:pt>
    <dgm:pt modelId="{E91B8184-6C98-425F-86BE-7A02CAE8E0EB}" type="sibTrans" cxnId="{113FFEAB-4148-4A5D-B773-ECBEB0165C5A}">
      <dgm:prSet/>
      <dgm:spPr/>
      <dgm:t>
        <a:bodyPr/>
        <a:lstStyle/>
        <a:p>
          <a:endParaRPr lang="en-ZA"/>
        </a:p>
      </dgm:t>
    </dgm:pt>
    <dgm:pt modelId="{36B69DD7-2AFA-435A-9B3D-68E19ECAD7D6}">
      <dgm:prSet custT="1"/>
      <dgm:spPr>
        <a:solidFill>
          <a:schemeClr val="accent4">
            <a:lumMod val="60000"/>
            <a:lumOff val="40000"/>
            <a:alpha val="90000"/>
          </a:schemeClr>
        </a:solidFill>
      </dgm:spPr>
      <dgm:t>
        <a:bodyPr/>
        <a:lstStyle/>
        <a:p>
          <a:r>
            <a:rPr lang="en-ZA" sz="900"/>
            <a:t>Economic data</a:t>
          </a:r>
          <a:r>
            <a:rPr lang="en-ZA" sz="900">
              <a:solidFill>
                <a:srgbClr val="FF0000"/>
              </a:solidFill>
            </a:rPr>
            <a:t>(1.9)</a:t>
          </a:r>
        </a:p>
      </dgm:t>
    </dgm:pt>
    <dgm:pt modelId="{B817FF11-DC76-4341-809C-1B8C10047862}" type="parTrans" cxnId="{AF24BDD9-C33E-429B-B935-3869C921B886}">
      <dgm:prSet/>
      <dgm:spPr/>
      <dgm:t>
        <a:bodyPr/>
        <a:lstStyle/>
        <a:p>
          <a:endParaRPr lang="en-ZA"/>
        </a:p>
      </dgm:t>
    </dgm:pt>
    <dgm:pt modelId="{FC507C91-73DD-4A2D-AC56-412FD95220B6}" type="sibTrans" cxnId="{AF24BDD9-C33E-429B-B935-3869C921B886}">
      <dgm:prSet/>
      <dgm:spPr/>
      <dgm:t>
        <a:bodyPr/>
        <a:lstStyle/>
        <a:p>
          <a:endParaRPr lang="en-ZA"/>
        </a:p>
      </dgm:t>
    </dgm:pt>
    <dgm:pt modelId="{74D56090-959E-4273-9665-0303C9D54B36}">
      <dgm:prSet phldrT="[Text]" custT="1"/>
      <dgm:spPr>
        <a:solidFill>
          <a:srgbClr val="00FF00">
            <a:alpha val="90000"/>
          </a:srgbClr>
        </a:solidFill>
      </dgm:spPr>
      <dgm:t>
        <a:bodyPr/>
        <a:lstStyle/>
        <a:p>
          <a:r>
            <a:rPr lang="en-ZA" sz="900"/>
            <a:t>Mini grid Valuation </a:t>
          </a:r>
          <a:r>
            <a:rPr lang="en-ZA" sz="900">
              <a:solidFill>
                <a:srgbClr val="FF0000"/>
              </a:solidFill>
            </a:rPr>
            <a:t>(3.3)</a:t>
          </a:r>
        </a:p>
      </dgm:t>
    </dgm:pt>
    <dgm:pt modelId="{39B81FF8-523F-4AEB-ABBE-2678444D8E04}" type="parTrans" cxnId="{E0775AB3-7438-4D93-B994-7147B8B8EC6F}">
      <dgm:prSet/>
      <dgm:spPr/>
      <dgm:t>
        <a:bodyPr/>
        <a:lstStyle/>
        <a:p>
          <a:endParaRPr lang="en-ZA"/>
        </a:p>
      </dgm:t>
    </dgm:pt>
    <dgm:pt modelId="{F1468E04-7862-4078-A0EC-D7984528ADE9}" type="sibTrans" cxnId="{E0775AB3-7438-4D93-B994-7147B8B8EC6F}">
      <dgm:prSet/>
      <dgm:spPr/>
      <dgm:t>
        <a:bodyPr/>
        <a:lstStyle/>
        <a:p>
          <a:endParaRPr lang="en-ZA"/>
        </a:p>
      </dgm:t>
    </dgm:pt>
    <dgm:pt modelId="{70335DD4-A500-47DC-A4CE-D8258417CB07}">
      <dgm:prSet phldrT="[Text]" custT="1"/>
      <dgm:spPr>
        <a:solidFill>
          <a:srgbClr val="00FF00">
            <a:alpha val="90000"/>
          </a:srgbClr>
        </a:solidFill>
      </dgm:spPr>
      <dgm:t>
        <a:bodyPr/>
        <a:lstStyle/>
        <a:p>
          <a:r>
            <a:rPr lang="en-ZA" sz="900"/>
            <a:t>Graphs </a:t>
          </a:r>
          <a:r>
            <a:rPr lang="en-ZA" sz="900">
              <a:solidFill>
                <a:srgbClr val="FF0000"/>
              </a:solidFill>
            </a:rPr>
            <a:t>(3.1b, 3.2b, 3.3b, 3.4b)</a:t>
          </a:r>
        </a:p>
      </dgm:t>
    </dgm:pt>
    <dgm:pt modelId="{85985F61-FA6D-4E76-AFDA-E799AE23F472}" type="parTrans" cxnId="{589AACE8-B117-45F4-9B11-81D8881EEBAE}">
      <dgm:prSet/>
      <dgm:spPr/>
      <dgm:t>
        <a:bodyPr/>
        <a:lstStyle/>
        <a:p>
          <a:endParaRPr lang="en-ZA"/>
        </a:p>
      </dgm:t>
    </dgm:pt>
    <dgm:pt modelId="{434BFD39-664A-41A1-B68A-D28BE5623AD1}" type="sibTrans" cxnId="{589AACE8-B117-45F4-9B11-81D8881EEBAE}">
      <dgm:prSet/>
      <dgm:spPr/>
      <dgm:t>
        <a:bodyPr/>
        <a:lstStyle/>
        <a:p>
          <a:endParaRPr lang="en-ZA"/>
        </a:p>
      </dgm:t>
    </dgm:pt>
    <dgm:pt modelId="{4CCDBD81-B0A9-41F1-AFFE-AAF854A5D0A9}">
      <dgm:prSet phldrT="[Text]" custT="1"/>
      <dgm:spPr>
        <a:solidFill>
          <a:schemeClr val="accent4">
            <a:lumMod val="60000"/>
            <a:lumOff val="40000"/>
            <a:alpha val="90000"/>
          </a:schemeClr>
        </a:solidFill>
      </dgm:spPr>
      <dgm:t>
        <a:bodyPr/>
        <a:lstStyle/>
        <a:p>
          <a:r>
            <a:rPr lang="en-ZA" sz="900"/>
            <a:t>Subsidies/grants/other revenues </a:t>
          </a:r>
          <a:r>
            <a:rPr lang="en-ZA" sz="900">
              <a:solidFill>
                <a:srgbClr val="FF0000"/>
              </a:solidFill>
            </a:rPr>
            <a:t>(1.5)</a:t>
          </a:r>
        </a:p>
      </dgm:t>
    </dgm:pt>
    <dgm:pt modelId="{8079D049-4BB4-4A06-A213-777409B0F062}" type="parTrans" cxnId="{B6A5A827-A598-44BE-B6C2-DE33E428A848}">
      <dgm:prSet/>
      <dgm:spPr/>
      <dgm:t>
        <a:bodyPr/>
        <a:lstStyle/>
        <a:p>
          <a:endParaRPr lang="en-ZA"/>
        </a:p>
      </dgm:t>
    </dgm:pt>
    <dgm:pt modelId="{63E65492-78E9-4A0E-90C0-8663B208AC25}" type="sibTrans" cxnId="{B6A5A827-A598-44BE-B6C2-DE33E428A848}">
      <dgm:prSet/>
      <dgm:spPr/>
      <dgm:t>
        <a:bodyPr/>
        <a:lstStyle/>
        <a:p>
          <a:endParaRPr lang="en-ZA"/>
        </a:p>
      </dgm:t>
    </dgm:pt>
    <dgm:pt modelId="{AB1D9BE9-777F-435D-9A84-07DC1D054AA8}">
      <dgm:prSet phldrT="[Text]" custT="1"/>
      <dgm:spPr>
        <a:solidFill>
          <a:schemeClr val="accent4">
            <a:lumMod val="60000"/>
            <a:lumOff val="40000"/>
            <a:alpha val="90000"/>
          </a:schemeClr>
        </a:solidFill>
      </dgm:spPr>
      <dgm:t>
        <a:bodyPr/>
        <a:lstStyle/>
        <a:p>
          <a:r>
            <a:rPr lang="en-ZA" sz="900"/>
            <a:t>Working capital </a:t>
          </a:r>
          <a:r>
            <a:rPr lang="en-ZA" sz="900">
              <a:solidFill>
                <a:srgbClr val="FF0000"/>
              </a:solidFill>
            </a:rPr>
            <a:t>(1.3)</a:t>
          </a:r>
        </a:p>
      </dgm:t>
    </dgm:pt>
    <dgm:pt modelId="{5F667B6B-A789-4261-8ECB-F1DB8F12C7ED}" type="parTrans" cxnId="{6D7EBBE6-3488-45EB-94BB-C477987340DE}">
      <dgm:prSet/>
      <dgm:spPr/>
      <dgm:t>
        <a:bodyPr/>
        <a:lstStyle/>
        <a:p>
          <a:endParaRPr lang="en-ZA"/>
        </a:p>
      </dgm:t>
    </dgm:pt>
    <dgm:pt modelId="{FCDD5896-7DFA-4EAE-9BDF-83807BAF8DBD}" type="sibTrans" cxnId="{6D7EBBE6-3488-45EB-94BB-C477987340DE}">
      <dgm:prSet/>
      <dgm:spPr/>
      <dgm:t>
        <a:bodyPr/>
        <a:lstStyle/>
        <a:p>
          <a:endParaRPr lang="en-ZA"/>
        </a:p>
      </dgm:t>
    </dgm:pt>
    <dgm:pt modelId="{FCE47D1E-0C29-4EAC-9A24-253842A6846F}">
      <dgm:prSet phldrT="[Text]" custT="1"/>
      <dgm:spPr>
        <a:solidFill>
          <a:schemeClr val="accent4">
            <a:lumMod val="60000"/>
            <a:lumOff val="40000"/>
            <a:alpha val="90000"/>
          </a:schemeClr>
        </a:solidFill>
      </dgm:spPr>
      <dgm:t>
        <a:bodyPr/>
        <a:lstStyle/>
        <a:p>
          <a:r>
            <a:rPr lang="en-ZA" sz="900"/>
            <a:t>Capital costs and useful lives </a:t>
          </a:r>
          <a:r>
            <a:rPr lang="en-ZA" sz="900">
              <a:solidFill>
                <a:srgbClr val="FF0000"/>
              </a:solidFill>
            </a:rPr>
            <a:t>(1.2</a:t>
          </a:r>
          <a:r>
            <a:rPr lang="en-ZA" sz="900"/>
            <a:t>)</a:t>
          </a:r>
        </a:p>
      </dgm:t>
    </dgm:pt>
    <dgm:pt modelId="{B73818B9-11F2-4AF2-82E1-C1820C9A2FED}" type="parTrans" cxnId="{A7E029D1-DDD6-4773-904A-D93EE2DE0656}">
      <dgm:prSet/>
      <dgm:spPr/>
      <dgm:t>
        <a:bodyPr/>
        <a:lstStyle/>
        <a:p>
          <a:endParaRPr lang="en-KE"/>
        </a:p>
      </dgm:t>
    </dgm:pt>
    <dgm:pt modelId="{D0408BD7-87A2-48CB-BEBB-1B0561427134}" type="sibTrans" cxnId="{A7E029D1-DDD6-4773-904A-D93EE2DE0656}">
      <dgm:prSet/>
      <dgm:spPr/>
      <dgm:t>
        <a:bodyPr/>
        <a:lstStyle/>
        <a:p>
          <a:endParaRPr lang="en-KE"/>
        </a:p>
      </dgm:t>
    </dgm:pt>
    <dgm:pt modelId="{899C21C6-0B9D-4910-8667-C81463779747}">
      <dgm:prSet phldrT="[Text]"/>
      <dgm:spPr>
        <a:solidFill>
          <a:schemeClr val="accent5">
            <a:lumMod val="20000"/>
            <a:lumOff val="80000"/>
            <a:alpha val="90000"/>
          </a:schemeClr>
        </a:solidFill>
      </dgm:spPr>
      <dgm:t>
        <a:bodyPr/>
        <a:lstStyle/>
        <a:p>
          <a:r>
            <a:rPr lang="en-ZA"/>
            <a:t>Depreciation </a:t>
          </a:r>
          <a:r>
            <a:rPr lang="en-ZA">
              <a:solidFill>
                <a:srgbClr val="FF0000"/>
              </a:solidFill>
            </a:rPr>
            <a:t>(2.2)</a:t>
          </a:r>
        </a:p>
      </dgm:t>
    </dgm:pt>
    <dgm:pt modelId="{56A16CD1-8C51-4FE1-8F9A-7900FC736ED5}" type="parTrans" cxnId="{319BB878-0FA6-4E9D-8BF4-43D431CE6758}">
      <dgm:prSet/>
      <dgm:spPr/>
      <dgm:t>
        <a:bodyPr/>
        <a:lstStyle/>
        <a:p>
          <a:endParaRPr lang="en-KE"/>
        </a:p>
      </dgm:t>
    </dgm:pt>
    <dgm:pt modelId="{35AA0963-B102-4001-B780-EB9CC6B451AE}" type="sibTrans" cxnId="{319BB878-0FA6-4E9D-8BF4-43D431CE6758}">
      <dgm:prSet/>
      <dgm:spPr/>
      <dgm:t>
        <a:bodyPr/>
        <a:lstStyle/>
        <a:p>
          <a:endParaRPr lang="en-KE"/>
        </a:p>
      </dgm:t>
    </dgm:pt>
    <dgm:pt modelId="{83760103-8C31-4F2E-9E87-A016BC9EDCF7}">
      <dgm:prSet phldrT="[Text]" custT="1"/>
      <dgm:spPr>
        <a:solidFill>
          <a:schemeClr val="accent4">
            <a:lumMod val="60000"/>
            <a:lumOff val="40000"/>
            <a:alpha val="90000"/>
          </a:schemeClr>
        </a:solidFill>
      </dgm:spPr>
      <dgm:t>
        <a:bodyPr/>
        <a:lstStyle/>
        <a:p>
          <a:r>
            <a:rPr lang="en-ZA" sz="900"/>
            <a:t>Customer categories </a:t>
          </a:r>
          <a:r>
            <a:rPr lang="en-ZA" sz="900">
              <a:solidFill>
                <a:srgbClr val="FF0000"/>
              </a:solidFill>
            </a:rPr>
            <a:t>(1.8)</a:t>
          </a:r>
        </a:p>
      </dgm:t>
    </dgm:pt>
    <dgm:pt modelId="{07C80F2E-7A2D-4570-8240-5606ED569070}" type="parTrans" cxnId="{DF749B12-5EF9-4497-8219-8B962926C855}">
      <dgm:prSet/>
      <dgm:spPr/>
      <dgm:t>
        <a:bodyPr/>
        <a:lstStyle/>
        <a:p>
          <a:endParaRPr lang="en-KE"/>
        </a:p>
      </dgm:t>
    </dgm:pt>
    <dgm:pt modelId="{D47F2C86-3B78-4A0D-8566-EF02A2C3D2B1}" type="sibTrans" cxnId="{DF749B12-5EF9-4497-8219-8B962926C855}">
      <dgm:prSet/>
      <dgm:spPr/>
      <dgm:t>
        <a:bodyPr/>
        <a:lstStyle/>
        <a:p>
          <a:endParaRPr lang="en-KE"/>
        </a:p>
      </dgm:t>
    </dgm:pt>
    <dgm:pt modelId="{A3641C03-8674-4EBF-8610-53858F405B3E}">
      <dgm:prSet phldrT="[Text]"/>
      <dgm:spPr>
        <a:solidFill>
          <a:schemeClr val="accent5">
            <a:lumMod val="20000"/>
            <a:lumOff val="80000"/>
            <a:alpha val="90000"/>
          </a:schemeClr>
        </a:solidFill>
      </dgm:spPr>
      <dgm:t>
        <a:bodyPr/>
        <a:lstStyle/>
        <a:p>
          <a:r>
            <a:rPr lang="en-ZA"/>
            <a:t>Financial performance </a:t>
          </a:r>
          <a:r>
            <a:rPr lang="en-ZA">
              <a:solidFill>
                <a:srgbClr val="FF0000"/>
              </a:solidFill>
            </a:rPr>
            <a:t>(2.7)</a:t>
          </a:r>
        </a:p>
      </dgm:t>
    </dgm:pt>
    <dgm:pt modelId="{EAD00674-2BB6-49CE-8581-9CA13D1A7EBA}" type="parTrans" cxnId="{E9A84048-6B09-4931-A57B-9C828AD9D8BF}">
      <dgm:prSet/>
      <dgm:spPr/>
      <dgm:t>
        <a:bodyPr/>
        <a:lstStyle/>
        <a:p>
          <a:endParaRPr lang="en-KE"/>
        </a:p>
      </dgm:t>
    </dgm:pt>
    <dgm:pt modelId="{28E6521D-0D11-4A37-B7B2-9191B3F185D8}" type="sibTrans" cxnId="{E9A84048-6B09-4931-A57B-9C828AD9D8BF}">
      <dgm:prSet/>
      <dgm:spPr/>
      <dgm:t>
        <a:bodyPr/>
        <a:lstStyle/>
        <a:p>
          <a:endParaRPr lang="en-KE"/>
        </a:p>
      </dgm:t>
    </dgm:pt>
    <dgm:pt modelId="{C03CC985-41D4-4384-8183-332032525115}">
      <dgm:prSet phldrT="[Text]" custT="1"/>
      <dgm:spPr>
        <a:solidFill>
          <a:srgbClr val="00FF00">
            <a:alpha val="90000"/>
          </a:srgbClr>
        </a:solidFill>
      </dgm:spPr>
      <dgm:t>
        <a:bodyPr/>
        <a:lstStyle/>
        <a:p>
          <a:r>
            <a:rPr lang="en-ZA" sz="900"/>
            <a:t>Sensivity/consumption/grid optimisation scenarios </a:t>
          </a:r>
          <a:r>
            <a:rPr lang="en-ZA" sz="900">
              <a:solidFill>
                <a:srgbClr val="FF0000"/>
              </a:solidFill>
            </a:rPr>
            <a:t>(3.6)</a:t>
          </a:r>
        </a:p>
      </dgm:t>
    </dgm:pt>
    <dgm:pt modelId="{5EFD9DB0-55C8-48A9-A4D4-2F39F2AB933C}" type="parTrans" cxnId="{2C47EE4D-BD26-42D9-A222-A8D9F8BA6019}">
      <dgm:prSet/>
      <dgm:spPr/>
      <dgm:t>
        <a:bodyPr/>
        <a:lstStyle/>
        <a:p>
          <a:endParaRPr lang="en-KE"/>
        </a:p>
      </dgm:t>
    </dgm:pt>
    <dgm:pt modelId="{80EE9C88-DBD8-4247-829E-8D61BDA86BE5}" type="sibTrans" cxnId="{2C47EE4D-BD26-42D9-A222-A8D9F8BA6019}">
      <dgm:prSet/>
      <dgm:spPr/>
      <dgm:t>
        <a:bodyPr/>
        <a:lstStyle/>
        <a:p>
          <a:endParaRPr lang="en-KE"/>
        </a:p>
      </dgm:t>
    </dgm:pt>
    <dgm:pt modelId="{D46B517D-1D34-438C-A00F-1920ED23890F}">
      <dgm:prSet phldrT="[Text]" custT="1"/>
      <dgm:spPr>
        <a:solidFill>
          <a:srgbClr val="00FF00">
            <a:alpha val="90000"/>
          </a:srgbClr>
        </a:solidFill>
      </dgm:spPr>
      <dgm:t>
        <a:bodyPr/>
        <a:lstStyle/>
        <a:p>
          <a:r>
            <a:rPr lang="en-ZA" sz="900"/>
            <a:t>Benchmarks comparisons </a:t>
          </a:r>
          <a:r>
            <a:rPr lang="en-ZA" sz="900">
              <a:solidFill>
                <a:srgbClr val="FF0000"/>
              </a:solidFill>
            </a:rPr>
            <a:t>(3.5)</a:t>
          </a:r>
        </a:p>
      </dgm:t>
    </dgm:pt>
    <dgm:pt modelId="{2B24CD42-5250-4F05-9762-DB49711EAE8A}" type="parTrans" cxnId="{88A899F0-2218-4CCE-B382-E16AB3FFFBBF}">
      <dgm:prSet/>
      <dgm:spPr/>
      <dgm:t>
        <a:bodyPr/>
        <a:lstStyle/>
        <a:p>
          <a:endParaRPr lang="en-KE"/>
        </a:p>
      </dgm:t>
    </dgm:pt>
    <dgm:pt modelId="{077EF2EC-F0CD-4F9F-AA9E-6F841C92FFBE}" type="sibTrans" cxnId="{88A899F0-2218-4CCE-B382-E16AB3FFFBBF}">
      <dgm:prSet/>
      <dgm:spPr/>
      <dgm:t>
        <a:bodyPr/>
        <a:lstStyle/>
        <a:p>
          <a:endParaRPr lang="en-KE"/>
        </a:p>
      </dgm:t>
    </dgm:pt>
    <dgm:pt modelId="{A9248AB7-B06E-4B56-9F44-8CD1CE746325}">
      <dgm:prSet phldrT="[Text]" custT="1"/>
      <dgm:spPr>
        <a:solidFill>
          <a:srgbClr val="00FF00">
            <a:alpha val="90000"/>
          </a:srgbClr>
        </a:solidFill>
      </dgm:spPr>
      <dgm:t>
        <a:bodyPr/>
        <a:lstStyle/>
        <a:p>
          <a:r>
            <a:rPr lang="en-ZA" sz="900">
              <a:solidFill>
                <a:sysClr val="windowText" lastClr="000000"/>
              </a:solidFill>
            </a:rPr>
            <a:t>Depreciation methods comparison</a:t>
          </a:r>
          <a:r>
            <a:rPr lang="en-ZA" sz="900">
              <a:solidFill>
                <a:srgbClr val="FF0000"/>
              </a:solidFill>
            </a:rPr>
            <a:t>(3.4)</a:t>
          </a:r>
        </a:p>
      </dgm:t>
    </dgm:pt>
    <dgm:pt modelId="{CD5EF1DB-0AD0-4872-9714-D709D5982ABA}" type="parTrans" cxnId="{D743EEF6-69E4-45A7-A582-F15248FBE251}">
      <dgm:prSet/>
      <dgm:spPr/>
      <dgm:t>
        <a:bodyPr/>
        <a:lstStyle/>
        <a:p>
          <a:endParaRPr lang="en-KE"/>
        </a:p>
      </dgm:t>
    </dgm:pt>
    <dgm:pt modelId="{CDB2A9A0-7480-48AF-9C7D-F2D7B75AD314}" type="sibTrans" cxnId="{D743EEF6-69E4-45A7-A582-F15248FBE251}">
      <dgm:prSet/>
      <dgm:spPr/>
      <dgm:t>
        <a:bodyPr/>
        <a:lstStyle/>
        <a:p>
          <a:endParaRPr lang="en-KE"/>
        </a:p>
      </dgm:t>
    </dgm:pt>
    <dgm:pt modelId="{337F733F-9DD4-422B-8225-E357EFBFC92B}">
      <dgm:prSet phldrT="[Text]"/>
      <dgm:spPr>
        <a:solidFill>
          <a:schemeClr val="accent5">
            <a:lumMod val="20000"/>
            <a:lumOff val="80000"/>
            <a:alpha val="90000"/>
          </a:schemeClr>
        </a:solidFill>
      </dgm:spPr>
      <dgm:t>
        <a:bodyPr/>
        <a:lstStyle/>
        <a:p>
          <a:r>
            <a:rPr lang="en-ZA"/>
            <a:t>True up/Deferral balances </a:t>
          </a:r>
          <a:r>
            <a:rPr lang="en-ZA">
              <a:solidFill>
                <a:srgbClr val="FF0000"/>
              </a:solidFill>
            </a:rPr>
            <a:t>(2.4)</a:t>
          </a:r>
        </a:p>
      </dgm:t>
    </dgm:pt>
    <dgm:pt modelId="{39B072F9-0CE1-4CE0-9C75-EA28154DB831}" type="parTrans" cxnId="{4C740FEB-B718-45E1-8D42-5D261F720B59}">
      <dgm:prSet/>
      <dgm:spPr/>
      <dgm:t>
        <a:bodyPr/>
        <a:lstStyle/>
        <a:p>
          <a:endParaRPr lang="en-KE"/>
        </a:p>
      </dgm:t>
    </dgm:pt>
    <dgm:pt modelId="{B64202CF-F70A-4AB4-8749-6ABCA131640A}" type="sibTrans" cxnId="{4C740FEB-B718-45E1-8D42-5D261F720B59}">
      <dgm:prSet/>
      <dgm:spPr/>
      <dgm:t>
        <a:bodyPr/>
        <a:lstStyle/>
        <a:p>
          <a:endParaRPr lang="en-KE"/>
        </a:p>
      </dgm:t>
    </dgm:pt>
    <dgm:pt modelId="{FD3BBA3C-8118-4680-B6B5-4B9653A3BB34}">
      <dgm:prSet phldrT="[Text]"/>
      <dgm:spPr>
        <a:solidFill>
          <a:schemeClr val="accent5">
            <a:lumMod val="20000"/>
            <a:lumOff val="80000"/>
            <a:alpha val="90000"/>
          </a:schemeClr>
        </a:solidFill>
      </dgm:spPr>
      <dgm:t>
        <a:bodyPr/>
        <a:lstStyle/>
        <a:p>
          <a:r>
            <a:rPr lang="en-ZA"/>
            <a:t>Benchmarks </a:t>
          </a:r>
          <a:r>
            <a:rPr lang="en-ZA">
              <a:solidFill>
                <a:srgbClr val="FF0000"/>
              </a:solidFill>
            </a:rPr>
            <a:t>(2.8)</a:t>
          </a:r>
        </a:p>
      </dgm:t>
    </dgm:pt>
    <dgm:pt modelId="{AA7200F1-D641-499C-A415-36A1F749C9D7}" type="sibTrans" cxnId="{95BFCFFC-175B-40FA-A2D3-6B0A423D1B29}">
      <dgm:prSet/>
      <dgm:spPr/>
      <dgm:t>
        <a:bodyPr/>
        <a:lstStyle/>
        <a:p>
          <a:endParaRPr lang="en-ZA"/>
        </a:p>
      </dgm:t>
    </dgm:pt>
    <dgm:pt modelId="{EF5E99D8-2562-4B76-9EDD-5C9A33830C93}" type="parTrans" cxnId="{95BFCFFC-175B-40FA-A2D3-6B0A423D1B29}">
      <dgm:prSet/>
      <dgm:spPr/>
      <dgm:t>
        <a:bodyPr/>
        <a:lstStyle/>
        <a:p>
          <a:endParaRPr lang="en-ZA"/>
        </a:p>
      </dgm:t>
    </dgm:pt>
    <dgm:pt modelId="{ABFD133C-444D-467B-A9B0-C95A4884B9DE}">
      <dgm:prSet phldrT="[Text]" custT="1"/>
      <dgm:spPr>
        <a:solidFill>
          <a:srgbClr val="00FF00">
            <a:alpha val="90000"/>
          </a:srgbClr>
        </a:solidFill>
      </dgm:spPr>
      <dgm:t>
        <a:bodyPr/>
        <a:lstStyle/>
        <a:p>
          <a:r>
            <a:rPr lang="en-ZA" sz="900">
              <a:solidFill>
                <a:schemeClr val="tx1"/>
              </a:solidFill>
            </a:rPr>
            <a:t>Grid arrival </a:t>
          </a:r>
          <a:r>
            <a:rPr lang="en-ZA" sz="900">
              <a:solidFill>
                <a:srgbClr val="FF0000"/>
              </a:solidFill>
            </a:rPr>
            <a:t>(4.1, 4.2, 4.3)</a:t>
          </a:r>
        </a:p>
      </dgm:t>
    </dgm:pt>
    <dgm:pt modelId="{4001EA41-DB35-46DE-9D51-E0CAA8DF42F7}" type="parTrans" cxnId="{9976B8DD-5ACB-40D8-B03F-7C2DFDDA4BF0}">
      <dgm:prSet/>
      <dgm:spPr/>
      <dgm:t>
        <a:bodyPr/>
        <a:lstStyle/>
        <a:p>
          <a:endParaRPr lang="en-001"/>
        </a:p>
      </dgm:t>
    </dgm:pt>
    <dgm:pt modelId="{E07F0B7C-11B8-43FE-8847-7121CD3BB6C7}" type="sibTrans" cxnId="{9976B8DD-5ACB-40D8-B03F-7C2DFDDA4BF0}">
      <dgm:prSet/>
      <dgm:spPr/>
      <dgm:t>
        <a:bodyPr/>
        <a:lstStyle/>
        <a:p>
          <a:endParaRPr lang="en-001"/>
        </a:p>
      </dgm:t>
    </dgm:pt>
    <dgm:pt modelId="{671E12EE-B8C0-4FE1-B92F-ED824706C6F2}" type="pres">
      <dgm:prSet presAssocID="{8E685B0D-05CF-405C-B3F2-168CB508385D}" presName="Name0" presStyleCnt="0">
        <dgm:presLayoutVars>
          <dgm:dir/>
          <dgm:animLvl val="lvl"/>
          <dgm:resizeHandles val="exact"/>
        </dgm:presLayoutVars>
      </dgm:prSet>
      <dgm:spPr/>
    </dgm:pt>
    <dgm:pt modelId="{963EB978-CCDB-4E12-97B6-D5DEFFBFED45}" type="pres">
      <dgm:prSet presAssocID="{8E685B0D-05CF-405C-B3F2-168CB508385D}" presName="tSp" presStyleCnt="0"/>
      <dgm:spPr/>
    </dgm:pt>
    <dgm:pt modelId="{4B10BA60-BC86-4FEC-918C-ADC571CE35C1}" type="pres">
      <dgm:prSet presAssocID="{8E685B0D-05CF-405C-B3F2-168CB508385D}" presName="bSp" presStyleCnt="0"/>
      <dgm:spPr/>
    </dgm:pt>
    <dgm:pt modelId="{300C9C2B-9A23-4F5C-B81D-3AAD3B23C7DE}" type="pres">
      <dgm:prSet presAssocID="{8E685B0D-05CF-405C-B3F2-168CB508385D}" presName="process" presStyleCnt="0"/>
      <dgm:spPr/>
    </dgm:pt>
    <dgm:pt modelId="{1D5D8BC8-572B-4493-9AF5-9466AA627631}" type="pres">
      <dgm:prSet presAssocID="{BE23C3A3-615C-444E-9654-945F35820CA6}" presName="composite1" presStyleCnt="0"/>
      <dgm:spPr/>
    </dgm:pt>
    <dgm:pt modelId="{1D96B3B1-FDC3-469D-A9B6-FABDAC9C3FEA}" type="pres">
      <dgm:prSet presAssocID="{BE23C3A3-615C-444E-9654-945F35820CA6}" presName="dummyNode1" presStyleLbl="node1" presStyleIdx="0" presStyleCnt="3"/>
      <dgm:spPr/>
    </dgm:pt>
    <dgm:pt modelId="{D426D7F1-2CF3-4954-869F-C37B1183B70D}" type="pres">
      <dgm:prSet presAssocID="{BE23C3A3-615C-444E-9654-945F35820CA6}" presName="childNode1" presStyleLbl="bgAcc1" presStyleIdx="0" presStyleCnt="3" custScaleX="105488" custScaleY="98735" custLinFactNeighborX="-5800" custLinFactNeighborY="-2269">
        <dgm:presLayoutVars>
          <dgm:bulletEnabled val="1"/>
        </dgm:presLayoutVars>
      </dgm:prSet>
      <dgm:spPr/>
    </dgm:pt>
    <dgm:pt modelId="{C9763952-28FA-43E5-8198-043F014217F4}" type="pres">
      <dgm:prSet presAssocID="{BE23C3A3-615C-444E-9654-945F35820CA6}" presName="childNode1tx" presStyleLbl="bgAcc1" presStyleIdx="0" presStyleCnt="3">
        <dgm:presLayoutVars>
          <dgm:bulletEnabled val="1"/>
        </dgm:presLayoutVars>
      </dgm:prSet>
      <dgm:spPr/>
    </dgm:pt>
    <dgm:pt modelId="{1791910A-EB15-4B7B-8672-80FBA91A323E}" type="pres">
      <dgm:prSet presAssocID="{BE23C3A3-615C-444E-9654-945F35820CA6}" presName="parentNode1" presStyleLbl="node1" presStyleIdx="0" presStyleCnt="3" custLinFactNeighborX="-14336" custLinFactNeighborY="40792">
        <dgm:presLayoutVars>
          <dgm:chMax val="1"/>
          <dgm:bulletEnabled val="1"/>
        </dgm:presLayoutVars>
      </dgm:prSet>
      <dgm:spPr/>
    </dgm:pt>
    <dgm:pt modelId="{FDE58960-8844-47CD-BA14-916AF33172C7}" type="pres">
      <dgm:prSet presAssocID="{BE23C3A3-615C-444E-9654-945F35820CA6}" presName="connSite1" presStyleCnt="0"/>
      <dgm:spPr/>
    </dgm:pt>
    <dgm:pt modelId="{B4A54CC5-1240-4155-A5C7-C65A3002F664}" type="pres">
      <dgm:prSet presAssocID="{45B87E64-4FD7-4D66-A3D8-B7C3D0142A10}" presName="Name9" presStyleLbl="sibTrans2D1" presStyleIdx="0" presStyleCnt="2" custLinFactNeighborX="14544" custLinFactNeighborY="-16621"/>
      <dgm:spPr/>
    </dgm:pt>
    <dgm:pt modelId="{EE2C61C9-153D-4815-90B6-07D927AAA174}" type="pres">
      <dgm:prSet presAssocID="{AC2328A0-7C99-4E4A-80E7-DDC03963363C}" presName="composite2" presStyleCnt="0"/>
      <dgm:spPr/>
    </dgm:pt>
    <dgm:pt modelId="{297F49C2-BA65-4897-9E6A-194D9C50AC9E}" type="pres">
      <dgm:prSet presAssocID="{AC2328A0-7C99-4E4A-80E7-DDC03963363C}" presName="dummyNode2" presStyleLbl="node1" presStyleIdx="0" presStyleCnt="3"/>
      <dgm:spPr/>
    </dgm:pt>
    <dgm:pt modelId="{FCC1DAB3-11D3-4551-98C3-2825D9103349}" type="pres">
      <dgm:prSet presAssocID="{AC2328A0-7C99-4E4A-80E7-DDC03963363C}" presName="childNode2" presStyleLbl="bgAcc1" presStyleIdx="1" presStyleCnt="3" custScaleY="114643" custLinFactNeighborX="1483" custLinFactNeighborY="5710">
        <dgm:presLayoutVars>
          <dgm:bulletEnabled val="1"/>
        </dgm:presLayoutVars>
      </dgm:prSet>
      <dgm:spPr/>
    </dgm:pt>
    <dgm:pt modelId="{37A149B9-6F57-4997-98BB-83AC3ADD12D4}" type="pres">
      <dgm:prSet presAssocID="{AC2328A0-7C99-4E4A-80E7-DDC03963363C}" presName="childNode2tx" presStyleLbl="bgAcc1" presStyleIdx="1" presStyleCnt="3">
        <dgm:presLayoutVars>
          <dgm:bulletEnabled val="1"/>
        </dgm:presLayoutVars>
      </dgm:prSet>
      <dgm:spPr/>
    </dgm:pt>
    <dgm:pt modelId="{88D1E82E-3078-43C3-B12E-DB9E51BF69D4}" type="pres">
      <dgm:prSet presAssocID="{AC2328A0-7C99-4E4A-80E7-DDC03963363C}" presName="parentNode2" presStyleLbl="node1" presStyleIdx="1" presStyleCnt="3" custLinFactNeighborX="300" custLinFactNeighborY="10976">
        <dgm:presLayoutVars>
          <dgm:chMax val="0"/>
          <dgm:bulletEnabled val="1"/>
        </dgm:presLayoutVars>
      </dgm:prSet>
      <dgm:spPr/>
    </dgm:pt>
    <dgm:pt modelId="{58B9DF0C-914B-4974-B14E-86D72FF02392}" type="pres">
      <dgm:prSet presAssocID="{AC2328A0-7C99-4E4A-80E7-DDC03963363C}" presName="connSite2" presStyleCnt="0"/>
      <dgm:spPr/>
    </dgm:pt>
    <dgm:pt modelId="{ED858D2E-B222-4FF5-AC4D-E75F319B3146}" type="pres">
      <dgm:prSet presAssocID="{D210A0E9-EC09-404D-AE95-9D0F3C7746F9}" presName="Name18" presStyleLbl="sibTrans2D1" presStyleIdx="1" presStyleCnt="2" custScaleX="82835" custLinFactNeighborX="13520" custLinFactNeighborY="11471"/>
      <dgm:spPr/>
    </dgm:pt>
    <dgm:pt modelId="{5A9624EF-7ACA-4D22-A3CE-12C098F49B49}" type="pres">
      <dgm:prSet presAssocID="{C1797981-BA02-4221-AD0F-2313CD7ACF86}" presName="composite1" presStyleCnt="0"/>
      <dgm:spPr/>
    </dgm:pt>
    <dgm:pt modelId="{AC559BC0-A1DD-4743-9482-DC49DE82FC8D}" type="pres">
      <dgm:prSet presAssocID="{C1797981-BA02-4221-AD0F-2313CD7ACF86}" presName="dummyNode1" presStyleLbl="node1" presStyleIdx="1" presStyleCnt="3"/>
      <dgm:spPr/>
    </dgm:pt>
    <dgm:pt modelId="{73D48363-6B13-4EDD-95B4-3839A8A1ABE4}" type="pres">
      <dgm:prSet presAssocID="{C1797981-BA02-4221-AD0F-2313CD7ACF86}" presName="childNode1" presStyleLbl="bgAcc1" presStyleIdx="2" presStyleCnt="3" custScaleX="112470" custLinFactNeighborX="-361" custLinFactNeighborY="8839">
        <dgm:presLayoutVars>
          <dgm:bulletEnabled val="1"/>
        </dgm:presLayoutVars>
      </dgm:prSet>
      <dgm:spPr/>
    </dgm:pt>
    <dgm:pt modelId="{9352C87A-7656-40B2-B6C5-819BB1233F8D}" type="pres">
      <dgm:prSet presAssocID="{C1797981-BA02-4221-AD0F-2313CD7ACF86}" presName="childNode1tx" presStyleLbl="bgAcc1" presStyleIdx="2" presStyleCnt="3">
        <dgm:presLayoutVars>
          <dgm:bulletEnabled val="1"/>
        </dgm:presLayoutVars>
      </dgm:prSet>
      <dgm:spPr/>
    </dgm:pt>
    <dgm:pt modelId="{D0BD3F7F-67C4-4F88-B218-C262EB65758B}" type="pres">
      <dgm:prSet presAssocID="{C1797981-BA02-4221-AD0F-2313CD7ACF86}" presName="parentNode1" presStyleLbl="node1" presStyleIdx="2" presStyleCnt="3" custLinFactNeighborX="47839" custLinFactNeighborY="51731">
        <dgm:presLayoutVars>
          <dgm:chMax val="1"/>
          <dgm:bulletEnabled val="1"/>
        </dgm:presLayoutVars>
      </dgm:prSet>
      <dgm:spPr/>
    </dgm:pt>
    <dgm:pt modelId="{94E921BC-BE91-4851-9BA1-A2A963705BC2}" type="pres">
      <dgm:prSet presAssocID="{C1797981-BA02-4221-AD0F-2313CD7ACF86}" presName="connSite1" presStyleCnt="0"/>
      <dgm:spPr/>
    </dgm:pt>
  </dgm:ptLst>
  <dgm:cxnLst>
    <dgm:cxn modelId="{C5C30903-16B8-4A3C-94D2-E8A56E8040D9}" type="presOf" srcId="{4CCDBD81-B0A9-41F1-AFFE-AAF854A5D0A9}" destId="{D426D7F1-2CF3-4954-869F-C37B1183B70D}" srcOrd="0" destOrd="4" presId="urn:microsoft.com/office/officeart/2005/8/layout/hProcess4"/>
    <dgm:cxn modelId="{A1FC6B07-93CF-4289-AD52-A28635EF2F38}" type="presOf" srcId="{83760103-8C31-4F2E-9E87-A016BC9EDCF7}" destId="{D426D7F1-2CF3-4954-869F-C37B1183B70D}" srcOrd="0" destOrd="6" presId="urn:microsoft.com/office/officeart/2005/8/layout/hProcess4"/>
    <dgm:cxn modelId="{71938D08-4513-491E-82F2-AEC0D821CDB6}" type="presOf" srcId="{D46B517D-1D34-438C-A00F-1920ED23890F}" destId="{73D48363-6B13-4EDD-95B4-3839A8A1ABE4}" srcOrd="0" destOrd="5" presId="urn:microsoft.com/office/officeart/2005/8/layout/hProcess4"/>
    <dgm:cxn modelId="{76458E0F-2522-44FD-B4ED-7070073E5808}" type="presOf" srcId="{74D56090-959E-4273-9665-0303C9D54B36}" destId="{73D48363-6B13-4EDD-95B4-3839A8A1ABE4}" srcOrd="0" destOrd="2" presId="urn:microsoft.com/office/officeart/2005/8/layout/hProcess4"/>
    <dgm:cxn modelId="{BDC2DE0F-A07E-4457-8968-BED08735CDE6}" srcId="{BE23C3A3-615C-444E-9654-945F35820CA6}" destId="{5A16A0BA-9FC5-4302-8521-B69A5E1F94AF}" srcOrd="3" destOrd="0" parTransId="{94F05721-4497-48A3-A029-FAA47E7D8A08}" sibTransId="{0F3741A1-60D0-4187-A4F2-924603F2EBBD}"/>
    <dgm:cxn modelId="{DF749B12-5EF9-4497-8219-8B962926C855}" srcId="{BE23C3A3-615C-444E-9654-945F35820CA6}" destId="{83760103-8C31-4F2E-9E87-A016BC9EDCF7}" srcOrd="6" destOrd="0" parTransId="{07C80F2E-7A2D-4570-8240-5606ED569070}" sibTransId="{D47F2C86-3B78-4A0D-8566-EF02A2C3D2B1}"/>
    <dgm:cxn modelId="{42A67313-CABF-4330-A7DF-309CD7901DB5}" type="presOf" srcId="{36B69DD7-2AFA-435A-9B3D-68E19ECAD7D6}" destId="{D426D7F1-2CF3-4954-869F-C37B1183B70D}" srcOrd="0" destOrd="7" presId="urn:microsoft.com/office/officeart/2005/8/layout/hProcess4"/>
    <dgm:cxn modelId="{08924018-2308-4AA7-978B-A758A7F1CB71}" type="presOf" srcId="{4CCDBD81-B0A9-41F1-AFFE-AAF854A5D0A9}" destId="{C9763952-28FA-43E5-8198-043F014217F4}" srcOrd="1" destOrd="4" presId="urn:microsoft.com/office/officeart/2005/8/layout/hProcess4"/>
    <dgm:cxn modelId="{19645D18-4A51-45E4-925D-7C8E50E2E8EA}" type="presOf" srcId="{BE23C3A3-615C-444E-9654-945F35820CA6}" destId="{1791910A-EB15-4B7B-8672-80FBA91A323E}" srcOrd="0" destOrd="0" presId="urn:microsoft.com/office/officeart/2005/8/layout/hProcess4"/>
    <dgm:cxn modelId="{F5A6591C-85AC-46DB-8636-61E45E555C87}" type="presOf" srcId="{73191FC9-4A9F-4831-A9E0-44D5A852EFB9}" destId="{37A149B9-6F57-4997-98BB-83AC3ADD12D4}" srcOrd="1" destOrd="2" presId="urn:microsoft.com/office/officeart/2005/8/layout/hProcess4"/>
    <dgm:cxn modelId="{3BE7371D-7308-4CCE-B276-CC66E90DFC17}" type="presOf" srcId="{45B87E64-4FD7-4D66-A3D8-B7C3D0142A10}" destId="{B4A54CC5-1240-4155-A5C7-C65A3002F664}" srcOrd="0" destOrd="0" presId="urn:microsoft.com/office/officeart/2005/8/layout/hProcess4"/>
    <dgm:cxn modelId="{303A071F-607D-4C92-83C8-ABEF0F91555D}" type="presOf" srcId="{83760103-8C31-4F2E-9E87-A016BC9EDCF7}" destId="{C9763952-28FA-43E5-8198-043F014217F4}" srcOrd="1" destOrd="6" presId="urn:microsoft.com/office/officeart/2005/8/layout/hProcess4"/>
    <dgm:cxn modelId="{1EE8C81F-7BF2-4A9B-8533-1EA9777B1830}" type="presOf" srcId="{1BA3F61E-0DC4-4371-A565-B61778F79F3B}" destId="{FCC1DAB3-11D3-4551-98C3-2825D9103349}" srcOrd="0" destOrd="0" presId="urn:microsoft.com/office/officeart/2005/8/layout/hProcess4"/>
    <dgm:cxn modelId="{C06A6D26-6811-49F8-A4CA-8596728790EB}" type="presOf" srcId="{8E685B0D-05CF-405C-B3F2-168CB508385D}" destId="{671E12EE-B8C0-4FE1-B92F-ED824706C6F2}" srcOrd="0" destOrd="0" presId="urn:microsoft.com/office/officeart/2005/8/layout/hProcess4"/>
    <dgm:cxn modelId="{D1CB3027-FA25-4CE8-80C5-5181871EF8EC}" type="presOf" srcId="{C1797981-BA02-4221-AD0F-2313CD7ACF86}" destId="{D0BD3F7F-67C4-4F88-B218-C262EB65758B}" srcOrd="0" destOrd="0" presId="urn:microsoft.com/office/officeart/2005/8/layout/hProcess4"/>
    <dgm:cxn modelId="{9DF45327-4C17-4BC7-BCA6-86E8E47E9C0B}" type="presOf" srcId="{1947CC2A-3DDC-4F48-8675-A36C5C13C4B1}" destId="{D426D7F1-2CF3-4954-869F-C37B1183B70D}" srcOrd="0" destOrd="5" presId="urn:microsoft.com/office/officeart/2005/8/layout/hProcess4"/>
    <dgm:cxn modelId="{B6A5A827-A598-44BE-B6C2-DE33E428A848}" srcId="{BE23C3A3-615C-444E-9654-945F35820CA6}" destId="{4CCDBD81-B0A9-41F1-AFFE-AAF854A5D0A9}" srcOrd="4" destOrd="0" parTransId="{8079D049-4BB4-4A06-A213-777409B0F062}" sibTransId="{63E65492-78E9-4A0E-90C0-8663B208AC25}"/>
    <dgm:cxn modelId="{F4F90A2D-8D8E-493A-972C-A4464DD4AE90}" type="presOf" srcId="{96FD5A85-1E20-4C2D-BD52-9DC001214E15}" destId="{73D48363-6B13-4EDD-95B4-3839A8A1ABE4}" srcOrd="0" destOrd="1" presId="urn:microsoft.com/office/officeart/2005/8/layout/hProcess4"/>
    <dgm:cxn modelId="{A2AB2131-8760-4550-9EE6-C8A59ABFA119}" type="presOf" srcId="{ABFD133C-444D-467B-A9B0-C95A4884B9DE}" destId="{9352C87A-7656-40B2-B6C5-819BB1233F8D}" srcOrd="1" destOrd="8" presId="urn:microsoft.com/office/officeart/2005/8/layout/hProcess4"/>
    <dgm:cxn modelId="{DFB9143B-B6BC-41F3-A496-EBAA2841C8BD}" type="presOf" srcId="{FCE47D1E-0C29-4EAC-9A24-253842A6846F}" destId="{C9763952-28FA-43E5-8198-043F014217F4}" srcOrd="1" destOrd="1" presId="urn:microsoft.com/office/officeart/2005/8/layout/hProcess4"/>
    <dgm:cxn modelId="{B517A43F-5096-4CEA-B2E5-8E06628FD37A}" type="presOf" srcId="{36B69DD7-2AFA-435A-9B3D-68E19ECAD7D6}" destId="{C9763952-28FA-43E5-8198-043F014217F4}" srcOrd="1" destOrd="7" presId="urn:microsoft.com/office/officeart/2005/8/layout/hProcess4"/>
    <dgm:cxn modelId="{E149495E-FC14-4C6A-AF9A-C188B8CB59F8}" srcId="{C1797981-BA02-4221-AD0F-2313CD7ACF86}" destId="{3C57CAB1-52DC-4CA4-AD88-C543CA07BAB6}" srcOrd="0" destOrd="0" parTransId="{7FF7DCA8-445E-4918-80D3-F840E1109555}" sibTransId="{41D07190-3DA0-4D4D-9957-F14102DFE1B3}"/>
    <dgm:cxn modelId="{61DD4D41-44F3-4DC0-8E6B-F305E54A4F29}" type="presOf" srcId="{ABFD133C-444D-467B-A9B0-C95A4884B9DE}" destId="{73D48363-6B13-4EDD-95B4-3839A8A1ABE4}" srcOrd="0" destOrd="8" presId="urn:microsoft.com/office/officeart/2005/8/layout/hProcess4"/>
    <dgm:cxn modelId="{29344962-DF8E-488A-AAC8-7A38E211E64A}" type="presOf" srcId="{C03CC985-41D4-4384-8183-332032525115}" destId="{73D48363-6B13-4EDD-95B4-3839A8A1ABE4}" srcOrd="0" destOrd="6" presId="urn:microsoft.com/office/officeart/2005/8/layout/hProcess4"/>
    <dgm:cxn modelId="{1626C665-4E64-446C-B462-6833EDD3AE95}" type="presOf" srcId="{2E6F8871-25DC-49B0-B235-8DC5D22666BC}" destId="{C9763952-28FA-43E5-8198-043F014217F4}" srcOrd="1" destOrd="0" presId="urn:microsoft.com/office/officeart/2005/8/layout/hProcess4"/>
    <dgm:cxn modelId="{E9A84048-6B09-4931-A57B-9C828AD9D8BF}" srcId="{AC2328A0-7C99-4E4A-80E7-DDC03963363C}" destId="{A3641C03-8674-4EBF-8610-53858F405B3E}" srcOrd="5" destOrd="0" parTransId="{EAD00674-2BB6-49CE-8581-9CA13D1A7EBA}" sibTransId="{28E6521D-0D11-4A37-B7B2-9191B3F185D8}"/>
    <dgm:cxn modelId="{2C47EE4D-BD26-42D9-A222-A8D9F8BA6019}" srcId="{C1797981-BA02-4221-AD0F-2313CD7ACF86}" destId="{C03CC985-41D4-4384-8183-332032525115}" srcOrd="6" destOrd="0" parTransId="{5EFD9DB0-55C8-48A9-A4D4-2F39F2AB933C}" sibTransId="{80EE9C88-DBD8-4247-829E-8D61BDA86BE5}"/>
    <dgm:cxn modelId="{BB648A4E-8BD0-421A-90EC-4AAB77FF6D52}" type="presOf" srcId="{70335DD4-A500-47DC-A4CE-D8258417CB07}" destId="{73D48363-6B13-4EDD-95B4-3839A8A1ABE4}" srcOrd="0" destOrd="4" presId="urn:microsoft.com/office/officeart/2005/8/layout/hProcess4"/>
    <dgm:cxn modelId="{56D49B73-6361-4301-8D00-2006F72E3C76}" type="presOf" srcId="{3C57CAB1-52DC-4CA4-AD88-C543CA07BAB6}" destId="{9352C87A-7656-40B2-B6C5-819BB1233F8D}" srcOrd="1" destOrd="0" presId="urn:microsoft.com/office/officeart/2005/8/layout/hProcess4"/>
    <dgm:cxn modelId="{BA33E173-15DF-4A38-9C93-CE2DA3DF8FC1}" type="presOf" srcId="{FD3BBA3C-8118-4680-B6B5-4B9653A3BB34}" destId="{FCC1DAB3-11D3-4551-98C3-2825D9103349}" srcOrd="0" destOrd="6" presId="urn:microsoft.com/office/officeart/2005/8/layout/hProcess4"/>
    <dgm:cxn modelId="{D2A51674-E8F7-4305-8D74-8EAF3FA678C9}" type="presOf" srcId="{C03CC985-41D4-4384-8183-332032525115}" destId="{9352C87A-7656-40B2-B6C5-819BB1233F8D}" srcOrd="1" destOrd="6" presId="urn:microsoft.com/office/officeart/2005/8/layout/hProcess4"/>
    <dgm:cxn modelId="{313F0A56-0C17-45D4-BF94-76E9A23B4B43}" type="presOf" srcId="{5A16A0BA-9FC5-4302-8521-B69A5E1F94AF}" destId="{D426D7F1-2CF3-4954-869F-C37B1183B70D}" srcOrd="0" destOrd="3" presId="urn:microsoft.com/office/officeart/2005/8/layout/hProcess4"/>
    <dgm:cxn modelId="{886B4578-DE1F-4AEA-BDB7-FA926BD6FDA3}" type="presOf" srcId="{A9248AB7-B06E-4B56-9F44-8CD1CE746325}" destId="{9352C87A-7656-40B2-B6C5-819BB1233F8D}" srcOrd="1" destOrd="3" presId="urn:microsoft.com/office/officeart/2005/8/layout/hProcess4"/>
    <dgm:cxn modelId="{319BB878-0FA6-4E9D-8BF4-43D431CE6758}" srcId="{AC2328A0-7C99-4E4A-80E7-DDC03963363C}" destId="{899C21C6-0B9D-4910-8667-C81463779747}" srcOrd="1" destOrd="0" parTransId="{56A16CD1-8C51-4FE1-8F9A-7900FC736ED5}" sibTransId="{35AA0963-B102-4001-B780-EB9CC6B451AE}"/>
    <dgm:cxn modelId="{8349C65A-7699-432A-A847-B19ACBE30392}" type="presOf" srcId="{337F733F-9DD4-422B-8225-E357EFBFC92B}" destId="{37A149B9-6F57-4997-98BB-83AC3ADD12D4}" srcOrd="1" destOrd="3" presId="urn:microsoft.com/office/officeart/2005/8/layout/hProcess4"/>
    <dgm:cxn modelId="{5D37CF88-B9FB-42F8-953B-BE71CE67B668}" srcId="{AC2328A0-7C99-4E4A-80E7-DDC03963363C}" destId="{1BA3F61E-0DC4-4371-A565-B61778F79F3B}" srcOrd="0" destOrd="0" parTransId="{04C29E06-50B3-449D-9B85-B6B128530B34}" sibTransId="{50070188-A063-4E8E-A5E5-740201AC908B}"/>
    <dgm:cxn modelId="{3AA76189-9E3D-489C-BFFA-2C15044C6EFE}" srcId="{BE23C3A3-615C-444E-9654-945F35820CA6}" destId="{2E6F8871-25DC-49B0-B235-8DC5D22666BC}" srcOrd="0" destOrd="0" parTransId="{0B2E0B0E-C1CF-4E69-A4A5-6AB4A6BB638C}" sibTransId="{D4DA6CFE-397E-47BD-8767-A6C6FE8E22EE}"/>
    <dgm:cxn modelId="{7B9F698B-1449-4714-99C5-7B3F37FB0A4C}" type="presOf" srcId="{A9248AB7-B06E-4B56-9F44-8CD1CE746325}" destId="{73D48363-6B13-4EDD-95B4-3839A8A1ABE4}" srcOrd="0" destOrd="3" presId="urn:microsoft.com/office/officeart/2005/8/layout/hProcess4"/>
    <dgm:cxn modelId="{4FAA1892-9738-4881-BDE5-57B0BA8FCAA7}" srcId="{C1797981-BA02-4221-AD0F-2313CD7ACF86}" destId="{96FD5A85-1E20-4C2D-BD52-9DC001214E15}" srcOrd="1" destOrd="0" parTransId="{234D8A94-4A0E-4C87-85D8-A5870D2D9A39}" sibTransId="{D3DC4482-27F3-4D04-9625-BAA1EA7136B1}"/>
    <dgm:cxn modelId="{64826F94-FC17-49D4-B2BC-685F538F2CC8}" type="presOf" srcId="{3C57CAB1-52DC-4CA4-AD88-C543CA07BAB6}" destId="{73D48363-6B13-4EDD-95B4-3839A8A1ABE4}" srcOrd="0" destOrd="0" presId="urn:microsoft.com/office/officeart/2005/8/layout/hProcess4"/>
    <dgm:cxn modelId="{485CF696-8202-4AB1-9CAA-2F2376069F13}" type="presOf" srcId="{5A16A0BA-9FC5-4302-8521-B69A5E1F94AF}" destId="{C9763952-28FA-43E5-8198-043F014217F4}" srcOrd="1" destOrd="3" presId="urn:microsoft.com/office/officeart/2005/8/layout/hProcess4"/>
    <dgm:cxn modelId="{17E44C99-D0A4-40C1-9306-96A66D5B8293}" type="presOf" srcId="{FCE47D1E-0C29-4EAC-9A24-253842A6846F}" destId="{D426D7F1-2CF3-4954-869F-C37B1183B70D}" srcOrd="0" destOrd="1" presId="urn:microsoft.com/office/officeart/2005/8/layout/hProcess4"/>
    <dgm:cxn modelId="{2BF50E9C-B025-4B96-9C69-A76A5B18A64A}" type="presOf" srcId="{DA1C945C-3DB9-44D8-86E9-C122A8032771}" destId="{73D48363-6B13-4EDD-95B4-3839A8A1ABE4}" srcOrd="0" destOrd="7" presId="urn:microsoft.com/office/officeart/2005/8/layout/hProcess4"/>
    <dgm:cxn modelId="{E3725F9C-B3CC-4170-BD28-F8F00AA49909}" type="presOf" srcId="{70335DD4-A500-47DC-A4CE-D8258417CB07}" destId="{9352C87A-7656-40B2-B6C5-819BB1233F8D}" srcOrd="1" destOrd="4" presId="urn:microsoft.com/office/officeart/2005/8/layout/hProcess4"/>
    <dgm:cxn modelId="{0F9409A1-F1AC-476D-B2BF-AE26E8FE6A06}" type="presOf" srcId="{AC2328A0-7C99-4E4A-80E7-DDC03963363C}" destId="{88D1E82E-3078-43C3-B12E-DB9E51BF69D4}" srcOrd="0" destOrd="0" presId="urn:microsoft.com/office/officeart/2005/8/layout/hProcess4"/>
    <dgm:cxn modelId="{439906A5-F534-4C8F-9161-861D89DB60F2}" srcId="{AC2328A0-7C99-4E4A-80E7-DDC03963363C}" destId="{15D9BCA0-4793-4161-9A7E-B12BC12E9A28}" srcOrd="4" destOrd="0" parTransId="{97A2FE42-3312-45AC-B8CE-8BB6640F3689}" sibTransId="{5F4B3C11-7EBA-4784-988F-FAB01AEB44D7}"/>
    <dgm:cxn modelId="{9A6FB6A9-4A7F-4684-BB6A-2D1C43BB7E60}" type="presOf" srcId="{1947CC2A-3DDC-4F48-8675-A36C5C13C4B1}" destId="{C9763952-28FA-43E5-8198-043F014217F4}" srcOrd="1" destOrd="5" presId="urn:microsoft.com/office/officeart/2005/8/layout/hProcess4"/>
    <dgm:cxn modelId="{93F6A4AB-B046-494C-B433-2D4A43F8ACF9}" type="presOf" srcId="{A3641C03-8674-4EBF-8610-53858F405B3E}" destId="{FCC1DAB3-11D3-4551-98C3-2825D9103349}" srcOrd="0" destOrd="5" presId="urn:microsoft.com/office/officeart/2005/8/layout/hProcess4"/>
    <dgm:cxn modelId="{113FFEAB-4148-4A5D-B773-ECBEB0165C5A}" srcId="{C1797981-BA02-4221-AD0F-2313CD7ACF86}" destId="{DA1C945C-3DB9-44D8-86E9-C122A8032771}" srcOrd="7" destOrd="0" parTransId="{BA03F99C-3EDA-481F-A8C9-785437A562F3}" sibTransId="{E91B8184-6C98-425F-86BE-7A02CAE8E0EB}"/>
    <dgm:cxn modelId="{E0775AB3-7438-4D93-B994-7147B8B8EC6F}" srcId="{C1797981-BA02-4221-AD0F-2313CD7ACF86}" destId="{74D56090-959E-4273-9665-0303C9D54B36}" srcOrd="2" destOrd="0" parTransId="{39B81FF8-523F-4AEB-ABBE-2678444D8E04}" sibTransId="{F1468E04-7862-4078-A0EC-D7984528ADE9}"/>
    <dgm:cxn modelId="{E390C1B3-147F-44AA-983A-5787AB7F1789}" srcId="{8E685B0D-05CF-405C-B3F2-168CB508385D}" destId="{AC2328A0-7C99-4E4A-80E7-DDC03963363C}" srcOrd="1" destOrd="0" parTransId="{2F6BE1BE-7953-4992-9D58-E06F19D8C54C}" sibTransId="{D210A0E9-EC09-404D-AE95-9D0F3C7746F9}"/>
    <dgm:cxn modelId="{DE5624BC-4A11-4007-99EC-8B1257B3097B}" type="presOf" srcId="{899C21C6-0B9D-4910-8667-C81463779747}" destId="{37A149B9-6F57-4997-98BB-83AC3ADD12D4}" srcOrd="1" destOrd="1" presId="urn:microsoft.com/office/officeart/2005/8/layout/hProcess4"/>
    <dgm:cxn modelId="{0E345CBD-F645-4A1B-9543-225FC14C1685}" type="presOf" srcId="{96FD5A85-1E20-4C2D-BD52-9DC001214E15}" destId="{9352C87A-7656-40B2-B6C5-819BB1233F8D}" srcOrd="1" destOrd="1" presId="urn:microsoft.com/office/officeart/2005/8/layout/hProcess4"/>
    <dgm:cxn modelId="{54557FC4-AC7F-469D-9A62-6A04DB8A34D5}" type="presOf" srcId="{A3641C03-8674-4EBF-8610-53858F405B3E}" destId="{37A149B9-6F57-4997-98BB-83AC3ADD12D4}" srcOrd="1" destOrd="5" presId="urn:microsoft.com/office/officeart/2005/8/layout/hProcess4"/>
    <dgm:cxn modelId="{850FD4C8-94F7-4074-BE58-86734496DFC9}" type="presOf" srcId="{FD3BBA3C-8118-4680-B6B5-4B9653A3BB34}" destId="{37A149B9-6F57-4997-98BB-83AC3ADD12D4}" srcOrd="1" destOrd="6" presId="urn:microsoft.com/office/officeart/2005/8/layout/hProcess4"/>
    <dgm:cxn modelId="{19A594CE-7F68-44DF-900D-007E5357EF33}" type="presOf" srcId="{337F733F-9DD4-422B-8225-E357EFBFC92B}" destId="{FCC1DAB3-11D3-4551-98C3-2825D9103349}" srcOrd="0" destOrd="3" presId="urn:microsoft.com/office/officeart/2005/8/layout/hProcess4"/>
    <dgm:cxn modelId="{A7E029D1-DDD6-4773-904A-D93EE2DE0656}" srcId="{BE23C3A3-615C-444E-9654-945F35820CA6}" destId="{FCE47D1E-0C29-4EAC-9A24-253842A6846F}" srcOrd="1" destOrd="0" parTransId="{B73818B9-11F2-4AF2-82E1-C1820C9A2FED}" sibTransId="{D0408BD7-87A2-48CB-BEBB-1B0561427134}"/>
    <dgm:cxn modelId="{23C860D1-3A55-4F26-BF33-5DE221E11587}" type="presOf" srcId="{2E6F8871-25DC-49B0-B235-8DC5D22666BC}" destId="{D426D7F1-2CF3-4954-869F-C37B1183B70D}" srcOrd="0" destOrd="0" presId="urn:microsoft.com/office/officeart/2005/8/layout/hProcess4"/>
    <dgm:cxn modelId="{CFA606D4-F9AC-4043-A933-6487E13E9C38}" type="presOf" srcId="{D46B517D-1D34-438C-A00F-1920ED23890F}" destId="{9352C87A-7656-40B2-B6C5-819BB1233F8D}" srcOrd="1" destOrd="5" presId="urn:microsoft.com/office/officeart/2005/8/layout/hProcess4"/>
    <dgm:cxn modelId="{9B51D0D7-9D08-4FC0-B9DD-853A1BAC30E0}" type="presOf" srcId="{DA1C945C-3DB9-44D8-86E9-C122A8032771}" destId="{9352C87A-7656-40B2-B6C5-819BB1233F8D}" srcOrd="1" destOrd="7" presId="urn:microsoft.com/office/officeart/2005/8/layout/hProcess4"/>
    <dgm:cxn modelId="{AF24BDD9-C33E-429B-B935-3869C921B886}" srcId="{BE23C3A3-615C-444E-9654-945F35820CA6}" destId="{36B69DD7-2AFA-435A-9B3D-68E19ECAD7D6}" srcOrd="7" destOrd="0" parTransId="{B817FF11-DC76-4341-809C-1B8C10047862}" sibTransId="{FC507C91-73DD-4A2D-AC56-412FD95220B6}"/>
    <dgm:cxn modelId="{A55431DC-4350-47BE-984D-E23C3873266A}" type="presOf" srcId="{899C21C6-0B9D-4910-8667-C81463779747}" destId="{FCC1DAB3-11D3-4551-98C3-2825D9103349}" srcOrd="0" destOrd="1" presId="urn:microsoft.com/office/officeart/2005/8/layout/hProcess4"/>
    <dgm:cxn modelId="{5B8977DD-BF85-45B6-BA1D-C28FF9AAC1C9}" type="presOf" srcId="{73191FC9-4A9F-4831-A9E0-44D5A852EFB9}" destId="{FCC1DAB3-11D3-4551-98C3-2825D9103349}" srcOrd="0" destOrd="2" presId="urn:microsoft.com/office/officeart/2005/8/layout/hProcess4"/>
    <dgm:cxn modelId="{9976B8DD-5ACB-40D8-B03F-7C2DFDDA4BF0}" srcId="{C1797981-BA02-4221-AD0F-2313CD7ACF86}" destId="{ABFD133C-444D-467B-A9B0-C95A4884B9DE}" srcOrd="8" destOrd="0" parTransId="{4001EA41-DB35-46DE-9D51-E0CAA8DF42F7}" sibTransId="{E07F0B7C-11B8-43FE-8847-7121CD3BB6C7}"/>
    <dgm:cxn modelId="{DFD873DF-C6F6-4A78-944F-1C8E564B7EEF}" srcId="{8E685B0D-05CF-405C-B3F2-168CB508385D}" destId="{BE23C3A3-615C-444E-9654-945F35820CA6}" srcOrd="0" destOrd="0" parTransId="{4510D2E0-973A-4645-905C-8A72D1A1D8A9}" sibTransId="{45B87E64-4FD7-4D66-A3D8-B7C3D0142A10}"/>
    <dgm:cxn modelId="{794207E0-C3D6-4D37-B666-014656DE2A58}" srcId="{AC2328A0-7C99-4E4A-80E7-DDC03963363C}" destId="{73191FC9-4A9F-4831-A9E0-44D5A852EFB9}" srcOrd="2" destOrd="0" parTransId="{3EE8E6F5-6B83-4350-8E26-7B339203D056}" sibTransId="{78FE9B96-F63B-446B-B925-095D7C01750A}"/>
    <dgm:cxn modelId="{81848DE1-C0A5-47C7-BA55-BCFBC4107D76}" srcId="{BE23C3A3-615C-444E-9654-945F35820CA6}" destId="{1947CC2A-3DDC-4F48-8675-A36C5C13C4B1}" srcOrd="5" destOrd="0" parTransId="{1FA5601F-660C-4EAB-8774-95FEBF71E323}" sibTransId="{F802D25D-1098-4AE5-A8FE-F72CD3E3903B}"/>
    <dgm:cxn modelId="{6D7EBBE6-3488-45EB-94BB-C477987340DE}" srcId="{BE23C3A3-615C-444E-9654-945F35820CA6}" destId="{AB1D9BE9-777F-435D-9A84-07DC1D054AA8}" srcOrd="2" destOrd="0" parTransId="{5F667B6B-A789-4261-8ECB-F1DB8F12C7ED}" sibTransId="{FCDD5896-7DFA-4EAE-9BDF-83807BAF8DBD}"/>
    <dgm:cxn modelId="{D05273E8-D1DD-4197-972C-8E55F0815196}" type="presOf" srcId="{15D9BCA0-4793-4161-9A7E-B12BC12E9A28}" destId="{37A149B9-6F57-4997-98BB-83AC3ADD12D4}" srcOrd="1" destOrd="4" presId="urn:microsoft.com/office/officeart/2005/8/layout/hProcess4"/>
    <dgm:cxn modelId="{589AACE8-B117-45F4-9B11-81D8881EEBAE}" srcId="{C1797981-BA02-4221-AD0F-2313CD7ACF86}" destId="{70335DD4-A500-47DC-A4CE-D8258417CB07}" srcOrd="4" destOrd="0" parTransId="{85985F61-FA6D-4E76-AFDA-E799AE23F472}" sibTransId="{434BFD39-664A-41A1-B68A-D28BE5623AD1}"/>
    <dgm:cxn modelId="{288D58E9-1DC9-4BDD-BA5E-D7502D9E1396}" type="presOf" srcId="{15D9BCA0-4793-4161-9A7E-B12BC12E9A28}" destId="{FCC1DAB3-11D3-4551-98C3-2825D9103349}" srcOrd="0" destOrd="4" presId="urn:microsoft.com/office/officeart/2005/8/layout/hProcess4"/>
    <dgm:cxn modelId="{4C740FEB-B718-45E1-8D42-5D261F720B59}" srcId="{AC2328A0-7C99-4E4A-80E7-DDC03963363C}" destId="{337F733F-9DD4-422B-8225-E357EFBFC92B}" srcOrd="3" destOrd="0" parTransId="{39B072F9-0CE1-4CE0-9C75-EA28154DB831}" sibTransId="{B64202CF-F70A-4AB4-8749-6ABCA131640A}"/>
    <dgm:cxn modelId="{4D402EED-D1ED-4B0A-BB0B-8BDDA2FA841E}" type="presOf" srcId="{AB1D9BE9-777F-435D-9A84-07DC1D054AA8}" destId="{D426D7F1-2CF3-4954-869F-C37B1183B70D}" srcOrd="0" destOrd="2" presId="urn:microsoft.com/office/officeart/2005/8/layout/hProcess4"/>
    <dgm:cxn modelId="{88A899F0-2218-4CCE-B382-E16AB3FFFBBF}" srcId="{C1797981-BA02-4221-AD0F-2313CD7ACF86}" destId="{D46B517D-1D34-438C-A00F-1920ED23890F}" srcOrd="5" destOrd="0" parTransId="{2B24CD42-5250-4F05-9762-DB49711EAE8A}" sibTransId="{077EF2EC-F0CD-4F9F-AA9E-6F841C92FFBE}"/>
    <dgm:cxn modelId="{15554DF1-950A-474F-90D2-901C072D8329}" type="presOf" srcId="{1BA3F61E-0DC4-4371-A565-B61778F79F3B}" destId="{37A149B9-6F57-4997-98BB-83AC3ADD12D4}" srcOrd="1" destOrd="0" presId="urn:microsoft.com/office/officeart/2005/8/layout/hProcess4"/>
    <dgm:cxn modelId="{6963CEF1-6932-4E42-908C-8A941120B2EB}" type="presOf" srcId="{D210A0E9-EC09-404D-AE95-9D0F3C7746F9}" destId="{ED858D2E-B222-4FF5-AC4D-E75F319B3146}" srcOrd="0" destOrd="0" presId="urn:microsoft.com/office/officeart/2005/8/layout/hProcess4"/>
    <dgm:cxn modelId="{D743EEF6-69E4-45A7-A582-F15248FBE251}" srcId="{C1797981-BA02-4221-AD0F-2313CD7ACF86}" destId="{A9248AB7-B06E-4B56-9F44-8CD1CE746325}" srcOrd="3" destOrd="0" parTransId="{CD5EF1DB-0AD0-4872-9714-D709D5982ABA}" sibTransId="{CDB2A9A0-7480-48AF-9C7D-F2D7B75AD314}"/>
    <dgm:cxn modelId="{CF5FC9F7-CD63-41BC-ADEB-F5448287CD88}" type="presOf" srcId="{74D56090-959E-4273-9665-0303C9D54B36}" destId="{9352C87A-7656-40B2-B6C5-819BB1233F8D}" srcOrd="1" destOrd="2" presId="urn:microsoft.com/office/officeart/2005/8/layout/hProcess4"/>
    <dgm:cxn modelId="{F15FD5F8-800E-4D7D-A451-EC14C0F2C950}" srcId="{8E685B0D-05CF-405C-B3F2-168CB508385D}" destId="{C1797981-BA02-4221-AD0F-2313CD7ACF86}" srcOrd="2" destOrd="0" parTransId="{BA9FD203-3E69-4EFA-BC57-17530CEE3BE2}" sibTransId="{9AB86336-6279-46FC-9D57-ACE00AED4410}"/>
    <dgm:cxn modelId="{3F6000FB-E534-4F0F-8755-28C87AEFDEE1}" type="presOf" srcId="{AB1D9BE9-777F-435D-9A84-07DC1D054AA8}" destId="{C9763952-28FA-43E5-8198-043F014217F4}" srcOrd="1" destOrd="2" presId="urn:microsoft.com/office/officeart/2005/8/layout/hProcess4"/>
    <dgm:cxn modelId="{95BFCFFC-175B-40FA-A2D3-6B0A423D1B29}" srcId="{AC2328A0-7C99-4E4A-80E7-DDC03963363C}" destId="{FD3BBA3C-8118-4680-B6B5-4B9653A3BB34}" srcOrd="6" destOrd="0" parTransId="{EF5E99D8-2562-4B76-9EDD-5C9A33830C93}" sibTransId="{AA7200F1-D641-499C-A415-36A1F749C9D7}"/>
    <dgm:cxn modelId="{1CF53DDA-6C89-425A-A56F-BC5735F5C5E2}" type="presParOf" srcId="{671E12EE-B8C0-4FE1-B92F-ED824706C6F2}" destId="{963EB978-CCDB-4E12-97B6-D5DEFFBFED45}" srcOrd="0" destOrd="0" presId="urn:microsoft.com/office/officeart/2005/8/layout/hProcess4"/>
    <dgm:cxn modelId="{E4689AA9-9D36-4189-AE78-0642494E12E8}" type="presParOf" srcId="{671E12EE-B8C0-4FE1-B92F-ED824706C6F2}" destId="{4B10BA60-BC86-4FEC-918C-ADC571CE35C1}" srcOrd="1" destOrd="0" presId="urn:microsoft.com/office/officeart/2005/8/layout/hProcess4"/>
    <dgm:cxn modelId="{269BBA1A-2147-407F-9C40-CC10DBB5804F}" type="presParOf" srcId="{671E12EE-B8C0-4FE1-B92F-ED824706C6F2}" destId="{300C9C2B-9A23-4F5C-B81D-3AAD3B23C7DE}" srcOrd="2" destOrd="0" presId="urn:microsoft.com/office/officeart/2005/8/layout/hProcess4"/>
    <dgm:cxn modelId="{D1F1D532-F182-4AA0-8D40-4EF580043784}" type="presParOf" srcId="{300C9C2B-9A23-4F5C-B81D-3AAD3B23C7DE}" destId="{1D5D8BC8-572B-4493-9AF5-9466AA627631}" srcOrd="0" destOrd="0" presId="urn:microsoft.com/office/officeart/2005/8/layout/hProcess4"/>
    <dgm:cxn modelId="{FB71C47E-6033-4B2C-9583-D9ABA8FC1674}" type="presParOf" srcId="{1D5D8BC8-572B-4493-9AF5-9466AA627631}" destId="{1D96B3B1-FDC3-469D-A9B6-FABDAC9C3FEA}" srcOrd="0" destOrd="0" presId="urn:microsoft.com/office/officeart/2005/8/layout/hProcess4"/>
    <dgm:cxn modelId="{6C2AA3F8-8FB5-4770-97A9-739734FD45E7}" type="presParOf" srcId="{1D5D8BC8-572B-4493-9AF5-9466AA627631}" destId="{D426D7F1-2CF3-4954-869F-C37B1183B70D}" srcOrd="1" destOrd="0" presId="urn:microsoft.com/office/officeart/2005/8/layout/hProcess4"/>
    <dgm:cxn modelId="{791F9E3C-ABDD-4928-BA1A-9922152E60AB}" type="presParOf" srcId="{1D5D8BC8-572B-4493-9AF5-9466AA627631}" destId="{C9763952-28FA-43E5-8198-043F014217F4}" srcOrd="2" destOrd="0" presId="urn:microsoft.com/office/officeart/2005/8/layout/hProcess4"/>
    <dgm:cxn modelId="{F589235B-2B05-4074-ACBD-2521B287094F}" type="presParOf" srcId="{1D5D8BC8-572B-4493-9AF5-9466AA627631}" destId="{1791910A-EB15-4B7B-8672-80FBA91A323E}" srcOrd="3" destOrd="0" presId="urn:microsoft.com/office/officeart/2005/8/layout/hProcess4"/>
    <dgm:cxn modelId="{7359E2EA-9AE8-4D6A-867F-8EB56FAD2AB1}" type="presParOf" srcId="{1D5D8BC8-572B-4493-9AF5-9466AA627631}" destId="{FDE58960-8844-47CD-BA14-916AF33172C7}" srcOrd="4" destOrd="0" presId="urn:microsoft.com/office/officeart/2005/8/layout/hProcess4"/>
    <dgm:cxn modelId="{8CFFB5D1-8888-46B6-AC36-11B0A729E717}" type="presParOf" srcId="{300C9C2B-9A23-4F5C-B81D-3AAD3B23C7DE}" destId="{B4A54CC5-1240-4155-A5C7-C65A3002F664}" srcOrd="1" destOrd="0" presId="urn:microsoft.com/office/officeart/2005/8/layout/hProcess4"/>
    <dgm:cxn modelId="{54A8612D-0119-4C9F-A4FF-7350DFDC022C}" type="presParOf" srcId="{300C9C2B-9A23-4F5C-B81D-3AAD3B23C7DE}" destId="{EE2C61C9-153D-4815-90B6-07D927AAA174}" srcOrd="2" destOrd="0" presId="urn:microsoft.com/office/officeart/2005/8/layout/hProcess4"/>
    <dgm:cxn modelId="{6F865AC0-547F-4C4A-9D97-783682CFF4F0}" type="presParOf" srcId="{EE2C61C9-153D-4815-90B6-07D927AAA174}" destId="{297F49C2-BA65-4897-9E6A-194D9C50AC9E}" srcOrd="0" destOrd="0" presId="urn:microsoft.com/office/officeart/2005/8/layout/hProcess4"/>
    <dgm:cxn modelId="{7430DB04-2A3E-45E1-9394-23E51B274D05}" type="presParOf" srcId="{EE2C61C9-153D-4815-90B6-07D927AAA174}" destId="{FCC1DAB3-11D3-4551-98C3-2825D9103349}" srcOrd="1" destOrd="0" presId="urn:microsoft.com/office/officeart/2005/8/layout/hProcess4"/>
    <dgm:cxn modelId="{E2A49914-DCDA-4FB5-8D29-44A27F37154C}" type="presParOf" srcId="{EE2C61C9-153D-4815-90B6-07D927AAA174}" destId="{37A149B9-6F57-4997-98BB-83AC3ADD12D4}" srcOrd="2" destOrd="0" presId="urn:microsoft.com/office/officeart/2005/8/layout/hProcess4"/>
    <dgm:cxn modelId="{AD72FD85-308E-44C2-994E-783979167E29}" type="presParOf" srcId="{EE2C61C9-153D-4815-90B6-07D927AAA174}" destId="{88D1E82E-3078-43C3-B12E-DB9E51BF69D4}" srcOrd="3" destOrd="0" presId="urn:microsoft.com/office/officeart/2005/8/layout/hProcess4"/>
    <dgm:cxn modelId="{165ADCBB-940E-4056-8D0C-E3DF62494A8F}" type="presParOf" srcId="{EE2C61C9-153D-4815-90B6-07D927AAA174}" destId="{58B9DF0C-914B-4974-B14E-86D72FF02392}" srcOrd="4" destOrd="0" presId="urn:microsoft.com/office/officeart/2005/8/layout/hProcess4"/>
    <dgm:cxn modelId="{683A7C52-084D-453B-AF0D-2025C6D1D5E2}" type="presParOf" srcId="{300C9C2B-9A23-4F5C-B81D-3AAD3B23C7DE}" destId="{ED858D2E-B222-4FF5-AC4D-E75F319B3146}" srcOrd="3" destOrd="0" presId="urn:microsoft.com/office/officeart/2005/8/layout/hProcess4"/>
    <dgm:cxn modelId="{E5577F0C-AA90-499A-93D9-B20570AB8BCA}" type="presParOf" srcId="{300C9C2B-9A23-4F5C-B81D-3AAD3B23C7DE}" destId="{5A9624EF-7ACA-4D22-A3CE-12C098F49B49}" srcOrd="4" destOrd="0" presId="urn:microsoft.com/office/officeart/2005/8/layout/hProcess4"/>
    <dgm:cxn modelId="{101A28EF-A593-4389-BF74-1B135367F607}" type="presParOf" srcId="{5A9624EF-7ACA-4D22-A3CE-12C098F49B49}" destId="{AC559BC0-A1DD-4743-9482-DC49DE82FC8D}" srcOrd="0" destOrd="0" presId="urn:microsoft.com/office/officeart/2005/8/layout/hProcess4"/>
    <dgm:cxn modelId="{ED401390-CEE9-430C-ACCC-516D7E6AB5CB}" type="presParOf" srcId="{5A9624EF-7ACA-4D22-A3CE-12C098F49B49}" destId="{73D48363-6B13-4EDD-95B4-3839A8A1ABE4}" srcOrd="1" destOrd="0" presId="urn:microsoft.com/office/officeart/2005/8/layout/hProcess4"/>
    <dgm:cxn modelId="{430D6F72-3499-4766-922E-483C0B865231}" type="presParOf" srcId="{5A9624EF-7ACA-4D22-A3CE-12C098F49B49}" destId="{9352C87A-7656-40B2-B6C5-819BB1233F8D}" srcOrd="2" destOrd="0" presId="urn:microsoft.com/office/officeart/2005/8/layout/hProcess4"/>
    <dgm:cxn modelId="{AC36F76C-881A-49D5-9F87-D98066CAA6FD}" type="presParOf" srcId="{5A9624EF-7ACA-4D22-A3CE-12C098F49B49}" destId="{D0BD3F7F-67C4-4F88-B218-C262EB65758B}" srcOrd="3" destOrd="0" presId="urn:microsoft.com/office/officeart/2005/8/layout/hProcess4"/>
    <dgm:cxn modelId="{CC54F304-FBC3-4CEA-A46D-6537315B5038}" type="presParOf" srcId="{5A9624EF-7ACA-4D22-A3CE-12C098F49B49}" destId="{94E921BC-BE91-4851-9BA1-A2A963705BC2}" srcOrd="4" destOrd="0" presId="urn:microsoft.com/office/officeart/2005/8/layout/hProcess4"/>
  </dgm:cxnLst>
  <dgm:bg>
    <a:solidFill>
      <a:schemeClr val="accent1">
        <a:lumMod val="40000"/>
        <a:lumOff val="60000"/>
      </a:schemeClr>
    </a:solidFill>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26D7F1-2CF3-4954-869F-C37B1183B70D}">
      <dsp:nvSpPr>
        <dsp:cNvPr id="0" name=""/>
        <dsp:cNvSpPr/>
      </dsp:nvSpPr>
      <dsp:spPr>
        <a:xfrm>
          <a:off x="621490" y="757189"/>
          <a:ext cx="1921304" cy="1483228"/>
        </a:xfrm>
        <a:prstGeom prst="roundRect">
          <a:avLst>
            <a:gd name="adj" fmla="val 10000"/>
          </a:avLst>
        </a:prstGeom>
        <a:solidFill>
          <a:schemeClr val="accent4">
            <a:lumMod val="60000"/>
            <a:lumOff val="40000"/>
            <a:alpha val="90000"/>
          </a:schemeClr>
        </a:solidFill>
        <a:ln w="12700" cap="flat" cmpd="sng" algn="ctr">
          <a:solidFill>
            <a:schemeClr val="accen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Plant capacity/performance </a:t>
          </a:r>
          <a:r>
            <a:rPr lang="en-ZA" sz="900" kern="1200">
              <a:solidFill>
                <a:srgbClr val="FF0000"/>
              </a:solidFill>
            </a:rPr>
            <a:t>(1.1)</a:t>
          </a:r>
        </a:p>
        <a:p>
          <a:pPr marL="57150" lvl="1" indent="-57150" algn="l" defTabSz="400050">
            <a:lnSpc>
              <a:spcPct val="90000"/>
            </a:lnSpc>
            <a:spcBef>
              <a:spcPct val="0"/>
            </a:spcBef>
            <a:spcAft>
              <a:spcPct val="15000"/>
            </a:spcAft>
            <a:buChar char="•"/>
          </a:pPr>
          <a:r>
            <a:rPr lang="en-ZA" sz="900" kern="1200"/>
            <a:t>Capital costs and useful lives </a:t>
          </a:r>
          <a:r>
            <a:rPr lang="en-ZA" sz="900" kern="1200">
              <a:solidFill>
                <a:srgbClr val="FF0000"/>
              </a:solidFill>
            </a:rPr>
            <a:t>(1.2</a:t>
          </a:r>
          <a:r>
            <a:rPr lang="en-ZA" sz="900" kern="1200"/>
            <a:t>)</a:t>
          </a:r>
        </a:p>
        <a:p>
          <a:pPr marL="57150" lvl="1" indent="-57150" algn="l" defTabSz="400050">
            <a:lnSpc>
              <a:spcPct val="90000"/>
            </a:lnSpc>
            <a:spcBef>
              <a:spcPct val="0"/>
            </a:spcBef>
            <a:spcAft>
              <a:spcPct val="15000"/>
            </a:spcAft>
            <a:buChar char="•"/>
          </a:pPr>
          <a:r>
            <a:rPr lang="en-ZA" sz="900" kern="1200"/>
            <a:t>Working capital </a:t>
          </a:r>
          <a:r>
            <a:rPr lang="en-ZA" sz="900" kern="1200">
              <a:solidFill>
                <a:srgbClr val="FF0000"/>
              </a:solidFill>
            </a:rPr>
            <a:t>(1.3)</a:t>
          </a:r>
        </a:p>
        <a:p>
          <a:pPr marL="57150" lvl="1" indent="-57150" algn="l" defTabSz="400050">
            <a:lnSpc>
              <a:spcPct val="90000"/>
            </a:lnSpc>
            <a:spcBef>
              <a:spcPct val="0"/>
            </a:spcBef>
            <a:spcAft>
              <a:spcPct val="15000"/>
            </a:spcAft>
            <a:buChar char="•"/>
          </a:pPr>
          <a:r>
            <a:rPr lang="en-ZA" sz="900" kern="1200"/>
            <a:t>Operating and maintenance costs</a:t>
          </a:r>
          <a:r>
            <a:rPr lang="en-ZA" sz="900" kern="1200">
              <a:solidFill>
                <a:srgbClr val="FF0000"/>
              </a:solidFill>
            </a:rPr>
            <a:t>(1.4)</a:t>
          </a:r>
        </a:p>
        <a:p>
          <a:pPr marL="57150" lvl="1" indent="-57150" algn="l" defTabSz="400050">
            <a:lnSpc>
              <a:spcPct val="90000"/>
            </a:lnSpc>
            <a:spcBef>
              <a:spcPct val="0"/>
            </a:spcBef>
            <a:spcAft>
              <a:spcPct val="15000"/>
            </a:spcAft>
            <a:buChar char="•"/>
          </a:pPr>
          <a:r>
            <a:rPr lang="en-ZA" sz="900" kern="1200"/>
            <a:t>Subsidies/grants/other revenues </a:t>
          </a:r>
          <a:r>
            <a:rPr lang="en-ZA" sz="900" kern="1200">
              <a:solidFill>
                <a:srgbClr val="FF0000"/>
              </a:solidFill>
            </a:rPr>
            <a:t>(1.5)</a:t>
          </a:r>
        </a:p>
        <a:p>
          <a:pPr marL="57150" lvl="1" indent="-57150" algn="l" defTabSz="400050">
            <a:lnSpc>
              <a:spcPct val="90000"/>
            </a:lnSpc>
            <a:spcBef>
              <a:spcPct val="0"/>
            </a:spcBef>
            <a:spcAft>
              <a:spcPct val="15000"/>
            </a:spcAft>
            <a:buChar char="•"/>
          </a:pPr>
          <a:r>
            <a:rPr lang="en-ZA" sz="900" kern="1200"/>
            <a:t>Financing information</a:t>
          </a:r>
          <a:r>
            <a:rPr lang="en-ZA" sz="900" kern="1200">
              <a:solidFill>
                <a:srgbClr val="FF0000"/>
              </a:solidFill>
            </a:rPr>
            <a:t>(1.7)</a:t>
          </a:r>
        </a:p>
        <a:p>
          <a:pPr marL="57150" lvl="1" indent="-57150" algn="l" defTabSz="400050">
            <a:lnSpc>
              <a:spcPct val="90000"/>
            </a:lnSpc>
            <a:spcBef>
              <a:spcPct val="0"/>
            </a:spcBef>
            <a:spcAft>
              <a:spcPct val="15000"/>
            </a:spcAft>
            <a:buChar char="•"/>
          </a:pPr>
          <a:r>
            <a:rPr lang="en-ZA" sz="900" kern="1200"/>
            <a:t>Customer categories </a:t>
          </a:r>
          <a:r>
            <a:rPr lang="en-ZA" sz="900" kern="1200">
              <a:solidFill>
                <a:srgbClr val="FF0000"/>
              </a:solidFill>
            </a:rPr>
            <a:t>(1.8)</a:t>
          </a:r>
        </a:p>
        <a:p>
          <a:pPr marL="57150" lvl="1" indent="-57150" algn="l" defTabSz="400050">
            <a:lnSpc>
              <a:spcPct val="90000"/>
            </a:lnSpc>
            <a:spcBef>
              <a:spcPct val="0"/>
            </a:spcBef>
            <a:spcAft>
              <a:spcPct val="15000"/>
            </a:spcAft>
            <a:buChar char="•"/>
          </a:pPr>
          <a:r>
            <a:rPr lang="en-ZA" sz="900" kern="1200"/>
            <a:t>Economic data</a:t>
          </a:r>
          <a:r>
            <a:rPr lang="en-ZA" sz="900" kern="1200">
              <a:solidFill>
                <a:srgbClr val="FF0000"/>
              </a:solidFill>
            </a:rPr>
            <a:t>(1.9)</a:t>
          </a:r>
        </a:p>
      </dsp:txBody>
      <dsp:txXfrm>
        <a:off x="655623" y="791322"/>
        <a:ext cx="1853038" cy="1097128"/>
      </dsp:txXfrm>
    </dsp:sp>
    <dsp:sp modelId="{B4A54CC5-1240-4155-A5C7-C65A3002F664}">
      <dsp:nvSpPr>
        <dsp:cNvPr id="0" name=""/>
        <dsp:cNvSpPr/>
      </dsp:nvSpPr>
      <dsp:spPr>
        <a:xfrm>
          <a:off x="1822805" y="532556"/>
          <a:ext cx="2516783" cy="2516783"/>
        </a:xfrm>
        <a:prstGeom prst="leftCircularArrow">
          <a:avLst>
            <a:gd name="adj1" fmla="val 3564"/>
            <a:gd name="adj2" fmla="val 442921"/>
            <a:gd name="adj3" fmla="val 1918345"/>
            <a:gd name="adj4" fmla="val 8724403"/>
            <a:gd name="adj5" fmla="val 4158"/>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791910A-EB15-4B7B-8672-80FBA91A323E}">
      <dsp:nvSpPr>
        <dsp:cNvPr id="0" name=""/>
        <dsp:cNvSpPr/>
      </dsp:nvSpPr>
      <dsp:spPr>
        <a:xfrm>
          <a:off x="949754" y="2224723"/>
          <a:ext cx="1618977" cy="643813"/>
        </a:xfrm>
        <a:prstGeom prst="roundRect">
          <a:avLst>
            <a:gd name="adj" fmla="val 10000"/>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 tIns="29210" rIns="43815" bIns="29210" numCol="1" spcCol="1270" anchor="ctr" anchorCtr="0">
          <a:noAutofit/>
        </a:bodyPr>
        <a:lstStyle/>
        <a:p>
          <a:pPr marL="0" lvl="0" indent="0" algn="ctr" defTabSz="1022350">
            <a:lnSpc>
              <a:spcPct val="90000"/>
            </a:lnSpc>
            <a:spcBef>
              <a:spcPct val="0"/>
            </a:spcBef>
            <a:spcAft>
              <a:spcPct val="35000"/>
            </a:spcAft>
            <a:buNone/>
          </a:pPr>
          <a:r>
            <a:rPr lang="en-ZA" sz="2300" kern="1200"/>
            <a:t>Inputs</a:t>
          </a:r>
        </a:p>
      </dsp:txBody>
      <dsp:txXfrm>
        <a:off x="968611" y="2243580"/>
        <a:ext cx="1581263" cy="606099"/>
      </dsp:txXfrm>
    </dsp:sp>
    <dsp:sp modelId="{FCC1DAB3-11D3-4551-98C3-2825D9103349}">
      <dsp:nvSpPr>
        <dsp:cNvPr id="0" name=""/>
        <dsp:cNvSpPr/>
      </dsp:nvSpPr>
      <dsp:spPr>
        <a:xfrm>
          <a:off x="3255003" y="756779"/>
          <a:ext cx="1821349" cy="1722204"/>
        </a:xfrm>
        <a:prstGeom prst="roundRect">
          <a:avLst>
            <a:gd name="adj" fmla="val 10000"/>
          </a:avLst>
        </a:prstGeom>
        <a:solidFill>
          <a:schemeClr val="accent5">
            <a:lumMod val="20000"/>
            <a:lumOff val="80000"/>
            <a:alpha val="9000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44500">
            <a:lnSpc>
              <a:spcPct val="90000"/>
            </a:lnSpc>
            <a:spcBef>
              <a:spcPct val="0"/>
            </a:spcBef>
            <a:spcAft>
              <a:spcPct val="15000"/>
            </a:spcAft>
            <a:buChar char="•"/>
          </a:pPr>
          <a:r>
            <a:rPr lang="en-ZA" sz="1000" kern="1200"/>
            <a:t>Net energy output/sold </a:t>
          </a:r>
          <a:r>
            <a:rPr lang="en-ZA" sz="1000" kern="1200">
              <a:solidFill>
                <a:srgbClr val="FF0000"/>
              </a:solidFill>
            </a:rPr>
            <a:t>(2.1)</a:t>
          </a:r>
        </a:p>
        <a:p>
          <a:pPr marL="57150" lvl="1" indent="-57150" algn="l" defTabSz="444500">
            <a:lnSpc>
              <a:spcPct val="90000"/>
            </a:lnSpc>
            <a:spcBef>
              <a:spcPct val="0"/>
            </a:spcBef>
            <a:spcAft>
              <a:spcPct val="15000"/>
            </a:spcAft>
            <a:buChar char="•"/>
          </a:pPr>
          <a:r>
            <a:rPr lang="en-ZA" sz="1000" kern="1200"/>
            <a:t>Depreciation </a:t>
          </a:r>
          <a:r>
            <a:rPr lang="en-ZA" sz="1000" kern="1200">
              <a:solidFill>
                <a:srgbClr val="FF0000"/>
              </a:solidFill>
            </a:rPr>
            <a:t>(2.2)</a:t>
          </a:r>
        </a:p>
        <a:p>
          <a:pPr marL="57150" lvl="1" indent="-57150" algn="l" defTabSz="444500">
            <a:lnSpc>
              <a:spcPct val="90000"/>
            </a:lnSpc>
            <a:spcBef>
              <a:spcPct val="0"/>
            </a:spcBef>
            <a:spcAft>
              <a:spcPct val="15000"/>
            </a:spcAft>
            <a:buChar char="•"/>
          </a:pPr>
          <a:r>
            <a:rPr lang="en-ZA" sz="1000" kern="1200"/>
            <a:t>Revenue Requirement </a:t>
          </a:r>
          <a:r>
            <a:rPr lang="en-ZA" sz="1000" kern="1200">
              <a:solidFill>
                <a:srgbClr val="FF0000"/>
              </a:solidFill>
            </a:rPr>
            <a:t>(2.3)</a:t>
          </a:r>
        </a:p>
        <a:p>
          <a:pPr marL="57150" lvl="1" indent="-57150" algn="l" defTabSz="444500">
            <a:lnSpc>
              <a:spcPct val="90000"/>
            </a:lnSpc>
            <a:spcBef>
              <a:spcPct val="0"/>
            </a:spcBef>
            <a:spcAft>
              <a:spcPct val="15000"/>
            </a:spcAft>
            <a:buChar char="•"/>
          </a:pPr>
          <a:r>
            <a:rPr lang="en-ZA" sz="1000" kern="1200"/>
            <a:t>True up/Deferral balances </a:t>
          </a:r>
          <a:r>
            <a:rPr lang="en-ZA" sz="1000" kern="1200">
              <a:solidFill>
                <a:srgbClr val="FF0000"/>
              </a:solidFill>
            </a:rPr>
            <a:t>(2.4)</a:t>
          </a:r>
        </a:p>
        <a:p>
          <a:pPr marL="57150" lvl="1" indent="-57150" algn="l" defTabSz="444500">
            <a:lnSpc>
              <a:spcPct val="90000"/>
            </a:lnSpc>
            <a:spcBef>
              <a:spcPct val="0"/>
            </a:spcBef>
            <a:spcAft>
              <a:spcPct val="15000"/>
            </a:spcAft>
            <a:buChar char="•"/>
          </a:pPr>
          <a:r>
            <a:rPr lang="en-ZA" sz="1000" kern="1200"/>
            <a:t>Mini grid valuation </a:t>
          </a:r>
          <a:r>
            <a:rPr lang="en-ZA" sz="1000" kern="1200">
              <a:solidFill>
                <a:srgbClr val="FF0000"/>
              </a:solidFill>
            </a:rPr>
            <a:t>(2.5)</a:t>
          </a:r>
        </a:p>
        <a:p>
          <a:pPr marL="57150" lvl="1" indent="-57150" algn="l" defTabSz="444500">
            <a:lnSpc>
              <a:spcPct val="90000"/>
            </a:lnSpc>
            <a:spcBef>
              <a:spcPct val="0"/>
            </a:spcBef>
            <a:spcAft>
              <a:spcPct val="15000"/>
            </a:spcAft>
            <a:buChar char="•"/>
          </a:pPr>
          <a:r>
            <a:rPr lang="en-ZA" sz="1000" kern="1200"/>
            <a:t>Financial performance </a:t>
          </a:r>
          <a:r>
            <a:rPr lang="en-ZA" sz="1000" kern="1200">
              <a:solidFill>
                <a:srgbClr val="FF0000"/>
              </a:solidFill>
            </a:rPr>
            <a:t>(2.7)</a:t>
          </a:r>
        </a:p>
        <a:p>
          <a:pPr marL="57150" lvl="1" indent="-57150" algn="l" defTabSz="444500">
            <a:lnSpc>
              <a:spcPct val="90000"/>
            </a:lnSpc>
            <a:spcBef>
              <a:spcPct val="0"/>
            </a:spcBef>
            <a:spcAft>
              <a:spcPct val="15000"/>
            </a:spcAft>
            <a:buChar char="•"/>
          </a:pPr>
          <a:r>
            <a:rPr lang="en-ZA" sz="1000" kern="1200"/>
            <a:t>Benchmarks </a:t>
          </a:r>
          <a:r>
            <a:rPr lang="en-ZA" sz="1000" kern="1200">
              <a:solidFill>
                <a:srgbClr val="FF0000"/>
              </a:solidFill>
            </a:rPr>
            <a:t>(2.8)</a:t>
          </a:r>
        </a:p>
      </dsp:txBody>
      <dsp:txXfrm>
        <a:off x="3294636" y="1165456"/>
        <a:ext cx="1742083" cy="1273894"/>
      </dsp:txXfrm>
    </dsp:sp>
    <dsp:sp modelId="{ED858D2E-B222-4FF5-AC4D-E75F319B3146}">
      <dsp:nvSpPr>
        <dsp:cNvPr id="0" name=""/>
        <dsp:cNvSpPr/>
      </dsp:nvSpPr>
      <dsp:spPr>
        <a:xfrm>
          <a:off x="4743298" y="158507"/>
          <a:ext cx="2121610" cy="2561249"/>
        </a:xfrm>
        <a:prstGeom prst="circularArrow">
          <a:avLst>
            <a:gd name="adj1" fmla="val 3502"/>
            <a:gd name="adj2" fmla="val 434589"/>
            <a:gd name="adj3" fmla="val 19494984"/>
            <a:gd name="adj4" fmla="val 12680594"/>
            <a:gd name="adj5" fmla="val 4086"/>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88D1E82E-3078-43C3-B12E-DB9E51BF69D4}">
      <dsp:nvSpPr>
        <dsp:cNvPr id="0" name=""/>
        <dsp:cNvSpPr/>
      </dsp:nvSpPr>
      <dsp:spPr>
        <a:xfrm>
          <a:off x="3637593" y="529746"/>
          <a:ext cx="1618977" cy="643813"/>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 tIns="29210" rIns="43815" bIns="29210" numCol="1" spcCol="1270" anchor="ctr" anchorCtr="0">
          <a:noAutofit/>
        </a:bodyPr>
        <a:lstStyle/>
        <a:p>
          <a:pPr marL="0" lvl="0" indent="0" algn="ctr" defTabSz="1022350">
            <a:lnSpc>
              <a:spcPct val="90000"/>
            </a:lnSpc>
            <a:spcBef>
              <a:spcPct val="0"/>
            </a:spcBef>
            <a:spcAft>
              <a:spcPct val="35000"/>
            </a:spcAft>
            <a:buNone/>
          </a:pPr>
          <a:r>
            <a:rPr lang="en-ZA" sz="2300" kern="1200"/>
            <a:t>Calculations</a:t>
          </a:r>
        </a:p>
      </dsp:txBody>
      <dsp:txXfrm>
        <a:off x="3656450" y="548603"/>
        <a:ext cx="1581263" cy="606099"/>
      </dsp:txXfrm>
    </dsp:sp>
    <dsp:sp modelId="{73D48363-6B13-4EDD-95B4-3839A8A1ABE4}">
      <dsp:nvSpPr>
        <dsp:cNvPr id="0" name=""/>
        <dsp:cNvSpPr/>
      </dsp:nvSpPr>
      <dsp:spPr>
        <a:xfrm>
          <a:off x="5672303" y="914556"/>
          <a:ext cx="2048471" cy="1502232"/>
        </a:xfrm>
        <a:prstGeom prst="roundRect">
          <a:avLst>
            <a:gd name="adj" fmla="val 10000"/>
          </a:avLst>
        </a:prstGeom>
        <a:solidFill>
          <a:srgbClr val="00FF00">
            <a:alpha val="90000"/>
          </a:srgbClr>
        </a:solidFill>
        <a:ln w="1270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Tariffs and tariff structures </a:t>
          </a:r>
          <a:r>
            <a:rPr lang="en-ZA" sz="900" kern="1200">
              <a:solidFill>
                <a:srgbClr val="FF0000"/>
              </a:solidFill>
            </a:rPr>
            <a:t>(3.1)</a:t>
          </a:r>
        </a:p>
        <a:p>
          <a:pPr marL="57150" lvl="1" indent="-57150" algn="l" defTabSz="400050">
            <a:lnSpc>
              <a:spcPct val="90000"/>
            </a:lnSpc>
            <a:spcBef>
              <a:spcPct val="0"/>
            </a:spcBef>
            <a:spcAft>
              <a:spcPct val="15000"/>
            </a:spcAft>
            <a:buChar char="•"/>
          </a:pPr>
          <a:r>
            <a:rPr lang="en-ZA" sz="900" kern="1200"/>
            <a:t>Financial indicators </a:t>
          </a:r>
          <a:r>
            <a:rPr lang="en-ZA" sz="900" kern="1200">
              <a:solidFill>
                <a:srgbClr val="FF0000"/>
              </a:solidFill>
            </a:rPr>
            <a:t>(3.2)</a:t>
          </a:r>
        </a:p>
        <a:p>
          <a:pPr marL="57150" lvl="1" indent="-57150" algn="l" defTabSz="400050">
            <a:lnSpc>
              <a:spcPct val="90000"/>
            </a:lnSpc>
            <a:spcBef>
              <a:spcPct val="0"/>
            </a:spcBef>
            <a:spcAft>
              <a:spcPct val="15000"/>
            </a:spcAft>
            <a:buChar char="•"/>
          </a:pPr>
          <a:r>
            <a:rPr lang="en-ZA" sz="900" kern="1200"/>
            <a:t>Mini grid Valuation </a:t>
          </a:r>
          <a:r>
            <a:rPr lang="en-ZA" sz="900" kern="1200">
              <a:solidFill>
                <a:srgbClr val="FF0000"/>
              </a:solidFill>
            </a:rPr>
            <a:t>(3.3)</a:t>
          </a:r>
        </a:p>
        <a:p>
          <a:pPr marL="57150" lvl="1" indent="-57150" algn="l" defTabSz="400050">
            <a:lnSpc>
              <a:spcPct val="90000"/>
            </a:lnSpc>
            <a:spcBef>
              <a:spcPct val="0"/>
            </a:spcBef>
            <a:spcAft>
              <a:spcPct val="15000"/>
            </a:spcAft>
            <a:buChar char="•"/>
          </a:pPr>
          <a:r>
            <a:rPr lang="en-ZA" sz="900" kern="1200">
              <a:solidFill>
                <a:sysClr val="windowText" lastClr="000000"/>
              </a:solidFill>
            </a:rPr>
            <a:t>Depreciation methods comparison</a:t>
          </a:r>
          <a:r>
            <a:rPr lang="en-ZA" sz="900" kern="1200">
              <a:solidFill>
                <a:srgbClr val="FF0000"/>
              </a:solidFill>
            </a:rPr>
            <a:t>(3.4)</a:t>
          </a:r>
        </a:p>
        <a:p>
          <a:pPr marL="57150" lvl="1" indent="-57150" algn="l" defTabSz="400050">
            <a:lnSpc>
              <a:spcPct val="90000"/>
            </a:lnSpc>
            <a:spcBef>
              <a:spcPct val="0"/>
            </a:spcBef>
            <a:spcAft>
              <a:spcPct val="15000"/>
            </a:spcAft>
            <a:buChar char="•"/>
          </a:pPr>
          <a:r>
            <a:rPr lang="en-ZA" sz="900" kern="1200"/>
            <a:t>Graphs </a:t>
          </a:r>
          <a:r>
            <a:rPr lang="en-ZA" sz="900" kern="1200">
              <a:solidFill>
                <a:srgbClr val="FF0000"/>
              </a:solidFill>
            </a:rPr>
            <a:t>(3.1b, 3.2b, 3.3b, 3.4b)</a:t>
          </a:r>
        </a:p>
        <a:p>
          <a:pPr marL="57150" lvl="1" indent="-57150" algn="l" defTabSz="400050">
            <a:lnSpc>
              <a:spcPct val="90000"/>
            </a:lnSpc>
            <a:spcBef>
              <a:spcPct val="0"/>
            </a:spcBef>
            <a:spcAft>
              <a:spcPct val="15000"/>
            </a:spcAft>
            <a:buChar char="•"/>
          </a:pPr>
          <a:r>
            <a:rPr lang="en-ZA" sz="900" kern="1200"/>
            <a:t>Benchmarks comparisons </a:t>
          </a:r>
          <a:r>
            <a:rPr lang="en-ZA" sz="900" kern="1200">
              <a:solidFill>
                <a:srgbClr val="FF0000"/>
              </a:solidFill>
            </a:rPr>
            <a:t>(3.5)</a:t>
          </a:r>
        </a:p>
        <a:p>
          <a:pPr marL="57150" lvl="1" indent="-57150" algn="l" defTabSz="400050">
            <a:lnSpc>
              <a:spcPct val="90000"/>
            </a:lnSpc>
            <a:spcBef>
              <a:spcPct val="0"/>
            </a:spcBef>
            <a:spcAft>
              <a:spcPct val="15000"/>
            </a:spcAft>
            <a:buChar char="•"/>
          </a:pPr>
          <a:r>
            <a:rPr lang="en-ZA" sz="900" kern="1200"/>
            <a:t>Sensivity/consumption/grid optimisation scenarios </a:t>
          </a:r>
          <a:r>
            <a:rPr lang="en-ZA" sz="900" kern="1200">
              <a:solidFill>
                <a:srgbClr val="FF0000"/>
              </a:solidFill>
            </a:rPr>
            <a:t>(3.6)</a:t>
          </a:r>
        </a:p>
        <a:p>
          <a:pPr marL="57150" lvl="1" indent="-57150" algn="l" defTabSz="400050">
            <a:lnSpc>
              <a:spcPct val="90000"/>
            </a:lnSpc>
            <a:spcBef>
              <a:spcPct val="0"/>
            </a:spcBef>
            <a:spcAft>
              <a:spcPct val="15000"/>
            </a:spcAft>
            <a:buChar char="•"/>
          </a:pPr>
          <a:r>
            <a:rPr lang="en-ZA" sz="900" kern="1200"/>
            <a:t>Tool User Guide </a:t>
          </a:r>
          <a:r>
            <a:rPr lang="en-ZA" sz="900" kern="1200">
              <a:solidFill>
                <a:srgbClr val="FF0000"/>
              </a:solidFill>
            </a:rPr>
            <a:t>(this tab)</a:t>
          </a:r>
        </a:p>
        <a:p>
          <a:pPr marL="57150" lvl="1" indent="-57150" algn="l" defTabSz="400050">
            <a:lnSpc>
              <a:spcPct val="90000"/>
            </a:lnSpc>
            <a:spcBef>
              <a:spcPct val="0"/>
            </a:spcBef>
            <a:spcAft>
              <a:spcPct val="15000"/>
            </a:spcAft>
            <a:buChar char="•"/>
          </a:pPr>
          <a:r>
            <a:rPr lang="en-ZA" sz="900" kern="1200">
              <a:solidFill>
                <a:schemeClr val="tx1"/>
              </a:solidFill>
            </a:rPr>
            <a:t>Grid arrival </a:t>
          </a:r>
          <a:r>
            <a:rPr lang="en-ZA" sz="900" kern="1200">
              <a:solidFill>
                <a:srgbClr val="FF0000"/>
              </a:solidFill>
            </a:rPr>
            <a:t>(4.1, 4.2, 4.3)</a:t>
          </a:r>
        </a:p>
      </dsp:txBody>
      <dsp:txXfrm>
        <a:off x="5706874" y="949127"/>
        <a:ext cx="1979329" cy="1111183"/>
      </dsp:txXfrm>
    </dsp:sp>
    <dsp:sp modelId="{D0BD3F7F-67C4-4F88-B218-C262EB65758B}">
      <dsp:nvSpPr>
        <dsp:cNvPr id="0" name=""/>
        <dsp:cNvSpPr/>
      </dsp:nvSpPr>
      <dsp:spPr>
        <a:xfrm>
          <a:off x="6924312" y="2295150"/>
          <a:ext cx="1618977" cy="643813"/>
        </a:xfrm>
        <a:prstGeom prst="roundRect">
          <a:avLst>
            <a:gd name="adj" fmla="val 10000"/>
          </a:avLst>
        </a:prstGeom>
        <a:solidFill>
          <a:srgbClr val="92D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 tIns="29210" rIns="43815" bIns="29210" numCol="1" spcCol="1270" anchor="ctr" anchorCtr="0">
          <a:noAutofit/>
        </a:bodyPr>
        <a:lstStyle/>
        <a:p>
          <a:pPr marL="0" lvl="0" indent="0" algn="ctr" defTabSz="1022350">
            <a:lnSpc>
              <a:spcPct val="90000"/>
            </a:lnSpc>
            <a:spcBef>
              <a:spcPct val="0"/>
            </a:spcBef>
            <a:spcAft>
              <a:spcPct val="35000"/>
            </a:spcAft>
            <a:buNone/>
          </a:pPr>
          <a:r>
            <a:rPr lang="en-ZA" sz="2300" kern="1200"/>
            <a:t>Outputs</a:t>
          </a:r>
        </a:p>
      </dsp:txBody>
      <dsp:txXfrm>
        <a:off x="6943169" y="2314007"/>
        <a:ext cx="1581263" cy="606099"/>
      </dsp:txXfrm>
    </dsp:sp>
  </dsp:spTree>
</dsp:drawing>
</file>

<file path=xl/diagrams/layout1.xml><?xml version="1.0" encoding="utf-8"?>
<dgm:layoutDef xmlns:dgm="http://schemas.openxmlformats.org/drawingml/2006/diagram" xmlns:a="http://schemas.openxmlformats.org/drawingml/2006/main" uniqueId="urn:microsoft.com/office/officeart/2005/8/layout/hProcess4">
  <dgm:title val=""/>
  <dgm:desc val=""/>
  <dgm:catLst>
    <dgm:cat type="process"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composite"/>
    <dgm:shape xmlns:r="http://schemas.openxmlformats.org/officeDocument/2006/relationships" r:blip="">
      <dgm:adjLst/>
    </dgm:shape>
    <dgm:presOf/>
    <dgm:constrLst>
      <dgm:constr type="w" for="ch" forName="tSp" refType="w"/>
      <dgm:constr type="h" for="ch" forName="tSp" refType="h" fact="0.15"/>
      <dgm:constr type="l" for="ch" forName="tSp"/>
      <dgm:constr type="t" for="ch" forName="tSp"/>
      <dgm:constr type="w" for="ch" forName="bSp" refType="w"/>
      <dgm:constr type="h" for="ch" forName="bSp" refType="h" fact="0.15"/>
      <dgm:constr type="l" for="ch" forName="bSp"/>
      <dgm:constr type="t" for="ch" forName="bSp" refType="h" fact="0.85"/>
      <dgm:constr type="w" for="ch" forName="process" refType="w"/>
      <dgm:constr type="h" for="ch" forName="process" refType="h" fact="0.7"/>
      <dgm:constr type="l" for="ch" forName="process"/>
      <dgm:constr type="t" for="ch" forName="process" refType="h" fact="0.15"/>
    </dgm:constrLst>
    <dgm:ruleLst/>
    <dgm:layoutNode name="tSp">
      <dgm:alg type="sp"/>
      <dgm:shape xmlns:r="http://schemas.openxmlformats.org/officeDocument/2006/relationships" r:blip="">
        <dgm:adjLst/>
      </dgm:shape>
      <dgm:presOf/>
      <dgm:constrLst/>
      <dgm:ruleLst/>
    </dgm:layoutNode>
    <dgm:layoutNode name="bSp">
      <dgm:alg type="sp"/>
      <dgm:shape xmlns:r="http://schemas.openxmlformats.org/officeDocument/2006/relationships" r:blip="">
        <dgm:adjLst/>
      </dgm:shape>
      <dgm:presOf/>
      <dgm:constrLst/>
      <dgm:ruleLst/>
    </dgm:layoutNode>
    <dgm:layoutNode name="process">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composite1" refType="w"/>
        <dgm:constr type="w" for="ch" forName="composite2" refType="w" refFor="ch" refForName="composite1" op="equ"/>
        <dgm:constr type="h" for="ch" forName="composite1" refType="h"/>
        <dgm:constr type="h" for="ch" forName="composite2" refType="h" refFor="ch" refForName="composite1" op="equ"/>
        <dgm:constr type="primFontSz" for="des" forName="parentNode1" val="65"/>
        <dgm:constr type="primFontSz" for="des" forName="parentNode2" refType="primFontSz" refFor="des" refForName="parentNode1" op="equ"/>
        <dgm:constr type="secFontSz" for="des" forName="childNode1tx" val="65"/>
        <dgm:constr type="secFontSz" for="des" forName="childNode2tx" refType="secFontSz" refFor="des" refForName="childNode1tx" op="equ"/>
        <dgm:constr type="w" for="des" ptType="sibTrans" refType="w" refFor="ch" refForName="composite1" op="equ" fact="0.05"/>
      </dgm:constrLst>
      <dgm:ruleLst/>
      <dgm:forEach name="Name4" axis="ch" ptType="node" step="2">
        <dgm:layoutNode name="composite1">
          <dgm:alg type="composite">
            <dgm:param type="ar" val="0.943"/>
          </dgm:alg>
          <dgm:shape xmlns:r="http://schemas.openxmlformats.org/officeDocument/2006/relationships" r:blip="">
            <dgm:adjLst/>
          </dgm:shape>
          <dgm:presOf/>
          <dgm:choose name="Name5">
            <dgm:if name="Name6" func="var" arg="dir" op="equ" val="norm">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dgm:constr type="w" for="ch" forName="childNode1tx" refType="w" fact="0.9"/>
                <dgm:constr type="h" for="ch" forName="childNode1tx" refType="h" fact="0.55"/>
                <dgm:constr type="t" for="ch" forName="childNode1tx" refType="h" fact="0.15"/>
                <dgm:constr type="l" for="ch" forName="childNode1tx"/>
                <dgm:constr type="w" for="ch" forName="parentNode1" refType="w" fact="0.8"/>
                <dgm:constr type="h" for="ch" forName="parentNode1" refType="h" fact="0.3"/>
                <dgm:constr type="t" for="ch" forName="parentNode1" refType="h" fact="0.7"/>
                <dgm:constr type="l" for="ch" forName="parentNode1" refType="w" fact="0.2"/>
                <dgm:constr type="w" for="ch" forName="connSite1" refType="w" fact="0.01"/>
                <dgm:constr type="h" for="ch" forName="connSite1" refType="h" fact="0.01"/>
                <dgm:constr type="t" for="ch" forName="connSite1"/>
                <dgm:constr type="l" for="ch" forName="connSite1" refType="w" fact="0.35"/>
              </dgm:constrLst>
            </dgm:if>
            <dgm:else name="Name7">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refType="w" fact="0.1"/>
                <dgm:constr type="w" for="ch" forName="childNode1tx" refType="w" fact="0.9"/>
                <dgm:constr type="h" for="ch" forName="childNode1tx" refType="h" fact="0.55"/>
                <dgm:constr type="t" for="ch" forName="childNode1tx" refType="h" fact="0.15"/>
                <dgm:constr type="l" for="ch" forName="childNode1tx" refType="w" fact="0.1"/>
                <dgm:constr type="w" for="ch" forName="parentNode1" refType="w" fact="0.8"/>
                <dgm:constr type="h" for="ch" forName="parentNode1" refType="h" fact="0.3"/>
                <dgm:constr type="t" for="ch" forName="parentNode1" refType="h" fact="0.7"/>
                <dgm:constr type="l" for="ch" forName="parentNode1"/>
                <dgm:constr type="w" for="ch" forName="connSite1" refType="w" fact="0.01"/>
                <dgm:constr type="h" for="ch" forName="connSite1" refType="h" fact="0.01"/>
                <dgm:constr type="t" for="ch" forName="connSite1"/>
                <dgm:constr type="l" for="ch" forName="connSite1" refType="w" fact="0.65"/>
              </dgm:constrLst>
            </dgm:else>
          </dgm:choose>
          <dgm:ruleLst/>
          <dgm:layoutNode name="dummyNode1">
            <dgm:alg type="sp"/>
            <dgm:shape xmlns:r="http://schemas.openxmlformats.org/officeDocument/2006/relationships" type="rect" r:blip="" hideGeom="1">
              <dgm:adjLst/>
            </dgm:shape>
            <dgm:presOf/>
            <dgm:constrLst/>
            <dgm:ruleLst/>
          </dgm:layoutNode>
          <dgm:layoutNode name="childNode1"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1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1" styleLbl="node1">
            <dgm:varLst>
              <dgm:chMax val="1"/>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1" moveWith="childNode1">
            <dgm:alg type="sp"/>
            <dgm:shape xmlns:r="http://schemas.openxmlformats.org/officeDocument/2006/relationships" r:blip="">
              <dgm:adjLst/>
            </dgm:shape>
            <dgm:presOf/>
            <dgm:constrLst/>
            <dgm:ruleLst/>
          </dgm:layoutNode>
        </dgm:layoutNode>
        <dgm:forEach name="Name8" axis="followSib" ptType="sibTrans" cnt="1">
          <dgm:layoutNode name="Name9">
            <dgm:alg type="conn">
              <dgm:param type="connRout" val="curve"/>
              <dgm:param type="srcNode" val="parentNode1"/>
              <dgm:param type="dstNode" val="connSite2"/>
              <dgm:param type="begPts" val="bCtr"/>
              <dgm:param type="endPts" val="bCtr"/>
            </dgm:alg>
            <dgm:shape xmlns:r="http://schemas.openxmlformats.org/officeDocument/2006/relationships" type="conn" r:blip="" zOrderOff="-2">
              <dgm:adjLst/>
            </dgm:shape>
            <dgm:presOf axis="self"/>
            <dgm:choose name="Name10">
              <dgm:if name="Name11" func="var" arg="dir" op="equ" val="norm">
                <dgm:constrLst>
                  <dgm:constr type="h" refType="w" fact="0.35"/>
                  <dgm:constr type="wArH" refType="h"/>
                  <dgm:constr type="hArH" refType="h"/>
                  <dgm:constr type="connDist"/>
                  <dgm:constr type="diam" refType="connDist" fact="-1.15"/>
                  <dgm:constr type="begPad"/>
                  <dgm:constr type="endPad"/>
                </dgm:constrLst>
              </dgm:if>
              <dgm:else name="Name12">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name="Name13" axis="followSib" ptType="node" cnt="1">
          <dgm:layoutNode name="composite2">
            <dgm:alg type="composite">
              <dgm:param type="ar" val="0.943"/>
            </dgm:alg>
            <dgm:shape xmlns:r="http://schemas.openxmlformats.org/officeDocument/2006/relationships" r:blip="">
              <dgm:adjLst/>
            </dgm:shape>
            <dgm:presOf/>
            <dgm:choose name="Name14">
              <dgm:if name="Name15" func="var" arg="dir" op="equ" val="norm">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dgm:constr type="w" for="ch" forName="childNode2tx" refType="w" fact="0.9"/>
                  <dgm:constr type="h" for="ch" forName="childNode2tx" refType="h" fact="0.55"/>
                  <dgm:constr type="t" for="ch" forName="childNode2tx" refType="h" fact="0.3"/>
                  <dgm:constr type="l" for="ch" forName="childNode2tx"/>
                  <dgm:constr type="w" for="ch" forName="parentNode2" refType="w" fact="0.8"/>
                  <dgm:constr type="h" for="ch" forName="parentNode2" refType="h" fact="0.3"/>
                  <dgm:constr type="t" for="ch" forName="parentNode2"/>
                  <dgm:constr type="l" for="ch" forName="parentNode2" refType="w" fact="0.2"/>
                  <dgm:constr type="w" for="ch" forName="connSite2" refType="w" fact="0.01"/>
                  <dgm:constr type="h" for="ch" forName="connSite2" refType="h" fact="0.01"/>
                  <dgm:constr type="t" for="ch" forName="connSite2" refType="h" fact="0.99"/>
                  <dgm:constr type="l" for="ch" forName="connSite2" refType="w" fact="0.25"/>
                </dgm:constrLst>
              </dgm:if>
              <dgm:else name="Name16">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refType="w" fact="0.1"/>
                  <dgm:constr type="w" for="ch" forName="childNode2tx" refType="w" fact="0.9"/>
                  <dgm:constr type="h" for="ch" forName="childNode2tx" refType="h" fact="0.55"/>
                  <dgm:constr type="t" for="ch" forName="childNode2tx" refType="h" fact="0.3"/>
                  <dgm:constr type="l" for="ch" forName="childNode2tx" refType="w" fact="0.1"/>
                  <dgm:constr type="w" for="ch" forName="parentNode2" refType="w" fact="0.8"/>
                  <dgm:constr type="h" for="ch" forName="parentNode2" refType="h" fact="0.3"/>
                  <dgm:constr type="t" for="ch" forName="parentNode2"/>
                  <dgm:constr type="l" for="ch" forName="parentNode2"/>
                  <dgm:constr type="w" for="ch" forName="connSite2" refType="w" fact="0.01"/>
                  <dgm:constr type="h" for="ch" forName="connSite2" refType="h" fact="0.01"/>
                  <dgm:constr type="t" for="ch" forName="connSite2" refType="h" fact="0.99"/>
                  <dgm:constr type="l" for="ch" forName="connSite2" refType="w" fact="0.85"/>
                </dgm:constrLst>
              </dgm:else>
            </dgm:choose>
            <dgm:ruleLst/>
            <dgm:layoutNode name="dummyNode2">
              <dgm:alg type="sp"/>
              <dgm:shape xmlns:r="http://schemas.openxmlformats.org/officeDocument/2006/relationships" type="rect" r:blip="" hideGeom="1">
                <dgm:adjLst/>
              </dgm:shape>
              <dgm:presOf/>
              <dgm:constrLst/>
              <dgm:ruleLst/>
            </dgm:layoutNode>
            <dgm:layoutNode name="childNode2"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2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2" styleLbl="node1">
              <dgm:varLst>
                <dgm:chMax val="0"/>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2" moveWith="childNode2">
              <dgm:alg type="sp"/>
              <dgm:shape xmlns:r="http://schemas.openxmlformats.org/officeDocument/2006/relationships" r:blip="">
                <dgm:adjLst/>
              </dgm:shape>
              <dgm:presOf/>
              <dgm:constrLst/>
              <dgm:ruleLst/>
            </dgm:layoutNode>
          </dgm:layoutNode>
          <dgm:forEach name="Name17" axis="followSib" ptType="sibTrans" cnt="1">
            <dgm:layoutNode name="Name18">
              <dgm:alg type="conn">
                <dgm:param type="connRout" val="curve"/>
                <dgm:param type="srcNode" val="parentNode2"/>
                <dgm:param type="dstNode" val="connSite1"/>
                <dgm:param type="begPts" val="tCtr"/>
                <dgm:param type="endPts" val="tCtr"/>
              </dgm:alg>
              <dgm:shape xmlns:r="http://schemas.openxmlformats.org/officeDocument/2006/relationships" type="conn" r:blip="" zOrderOff="-2">
                <dgm:adjLst/>
              </dgm:shape>
              <dgm:presOf axis="self"/>
              <dgm:choose name="Name19">
                <dgm:if name="Name20" func="var" arg="dir" op="equ" val="norm">
                  <dgm:constrLst>
                    <dgm:constr type="h" refType="w" fact="0.35"/>
                    <dgm:constr type="wArH" refType="h"/>
                    <dgm:constr type="hArH" refType="h"/>
                    <dgm:constr type="connDist"/>
                    <dgm:constr type="diam" refType="connDist" fact="1.15"/>
                    <dgm:constr type="begPad"/>
                    <dgm:constr type="endPad"/>
                  </dgm:constrLst>
                </dgm:if>
                <dgm:else name="Name21">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7.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5.emf"/><Relationship Id="rId5" Type="http://schemas.openxmlformats.org/officeDocument/2006/relationships/chart" Target="../charts/chart6.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25400</xdr:colOff>
      <xdr:row>6</xdr:row>
      <xdr:rowOff>31750</xdr:rowOff>
    </xdr:from>
    <xdr:to>
      <xdr:col>2</xdr:col>
      <xdr:colOff>4286250</xdr:colOff>
      <xdr:row>22</xdr:row>
      <xdr:rowOff>171450</xdr:rowOff>
    </xdr:to>
    <xdr:graphicFrame macro="">
      <xdr:nvGraphicFramePr>
        <xdr:cNvPr id="4" name="Diagram 3">
          <a:extLst>
            <a:ext uri="{FF2B5EF4-FFF2-40B4-BE49-F238E27FC236}">
              <a16:creationId xmlns:a16="http://schemas.microsoft.com/office/drawing/2014/main" id="{20DF7D62-51CC-4304-B2E7-EB4845DA428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xdr:col>
      <xdr:colOff>4223044</xdr:colOff>
      <xdr:row>0</xdr:row>
      <xdr:rowOff>19051</xdr:rowOff>
    </xdr:from>
    <xdr:to>
      <xdr:col>2</xdr:col>
      <xdr:colOff>4961356</xdr:colOff>
      <xdr:row>3</xdr:row>
      <xdr:rowOff>50801</xdr:rowOff>
    </xdr:to>
    <xdr:pic>
      <xdr:nvPicPr>
        <xdr:cNvPr id="3" name="Picture 2">
          <a:extLst>
            <a:ext uri="{FF2B5EF4-FFF2-40B4-BE49-F238E27FC236}">
              <a16:creationId xmlns:a16="http://schemas.microsoft.com/office/drawing/2014/main" id="{AF05ECFD-AC91-43EF-B614-E5DA9CE6170D}"/>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33144" y="19051"/>
          <a:ext cx="738312"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3585079</xdr:colOff>
      <xdr:row>0</xdr:row>
      <xdr:rowOff>6350</xdr:rowOff>
    </xdr:from>
    <xdr:to>
      <xdr:col>2</xdr:col>
      <xdr:colOff>4127651</xdr:colOff>
      <xdr:row>3</xdr:row>
      <xdr:rowOff>12700</xdr:rowOff>
    </xdr:to>
    <xdr:pic>
      <xdr:nvPicPr>
        <xdr:cNvPr id="5" name="Picture 4">
          <a:extLst>
            <a:ext uri="{FF2B5EF4-FFF2-40B4-BE49-F238E27FC236}">
              <a16:creationId xmlns:a16="http://schemas.microsoft.com/office/drawing/2014/main" id="{A06868B4-5B7D-3D73-9E38-CB94E57680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8110042" y="6350"/>
          <a:ext cx="542572" cy="542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107950</xdr:rowOff>
    </xdr:from>
    <xdr:to>
      <xdr:col>4</xdr:col>
      <xdr:colOff>784225</xdr:colOff>
      <xdr:row>310</xdr:row>
      <xdr:rowOff>3175</xdr:rowOff>
    </xdr:to>
    <xdr:pic>
      <xdr:nvPicPr>
        <xdr:cNvPr id="3" name="Picture 2">
          <a:extLst>
            <a:ext uri="{FF2B5EF4-FFF2-40B4-BE49-F238E27FC236}">
              <a16:creationId xmlns:a16="http://schemas.microsoft.com/office/drawing/2014/main" id="{5DED1CE8-2995-4AF2-BA38-A811B9C7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07550"/>
          <a:ext cx="7013575"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5</xdr:col>
      <xdr:colOff>631825</xdr:colOff>
      <xdr:row>280</xdr:row>
      <xdr:rowOff>57149</xdr:rowOff>
    </xdr:to>
    <xdr:pic>
      <xdr:nvPicPr>
        <xdr:cNvPr id="4" name="Picture 3">
          <a:extLst>
            <a:ext uri="{FF2B5EF4-FFF2-40B4-BE49-F238E27FC236}">
              <a16:creationId xmlns:a16="http://schemas.microsoft.com/office/drawing/2014/main" id="{B3662D2A-8C22-438C-81A1-57508EBF22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0675"/>
          <a:ext cx="7661275" cy="269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11</xdr:row>
      <xdr:rowOff>0</xdr:rowOff>
    </xdr:from>
    <xdr:to>
      <xdr:col>37</xdr:col>
      <xdr:colOff>431800</xdr:colOff>
      <xdr:row>29</xdr:row>
      <xdr:rowOff>44449</xdr:rowOff>
    </xdr:to>
    <xdr:graphicFrame macro="">
      <xdr:nvGraphicFramePr>
        <xdr:cNvPr id="3" name="Chart 2">
          <a:extLst>
            <a:ext uri="{FF2B5EF4-FFF2-40B4-BE49-F238E27FC236}">
              <a16:creationId xmlns:a16="http://schemas.microsoft.com/office/drawing/2014/main" id="{E363EC53-2163-4D86-A7F4-332000D9E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116</xdr:row>
      <xdr:rowOff>19051</xdr:rowOff>
    </xdr:from>
    <xdr:to>
      <xdr:col>3</xdr:col>
      <xdr:colOff>584200</xdr:colOff>
      <xdr:row>132</xdr:row>
      <xdr:rowOff>38101</xdr:rowOff>
    </xdr:to>
    <xdr:graphicFrame macro="">
      <xdr:nvGraphicFramePr>
        <xdr:cNvPr id="4" name="Chart 3">
          <a:extLst>
            <a:ext uri="{FF2B5EF4-FFF2-40B4-BE49-F238E27FC236}">
              <a16:creationId xmlns:a16="http://schemas.microsoft.com/office/drawing/2014/main" id="{E3F3A558-9448-4306-8619-9AF1009984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692150</xdr:colOff>
      <xdr:row>116</xdr:row>
      <xdr:rowOff>31750</xdr:rowOff>
    </xdr:from>
    <xdr:to>
      <xdr:col>16</xdr:col>
      <xdr:colOff>57150</xdr:colOff>
      <xdr:row>132</xdr:row>
      <xdr:rowOff>133349</xdr:rowOff>
    </xdr:to>
    <xdr:graphicFrame macro="">
      <xdr:nvGraphicFramePr>
        <xdr:cNvPr id="5" name="Chart 4">
          <a:extLst>
            <a:ext uri="{FF2B5EF4-FFF2-40B4-BE49-F238E27FC236}">
              <a16:creationId xmlns:a16="http://schemas.microsoft.com/office/drawing/2014/main" id="{7DF63D08-7969-4EB3-AED0-D1064E71E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31750</xdr:rowOff>
    </xdr:from>
    <xdr:to>
      <xdr:col>9</xdr:col>
      <xdr:colOff>266700</xdr:colOff>
      <xdr:row>47</xdr:row>
      <xdr:rowOff>107950</xdr:rowOff>
    </xdr:to>
    <xdr:graphicFrame macro="">
      <xdr:nvGraphicFramePr>
        <xdr:cNvPr id="2" name="Chart 1">
          <a:extLst>
            <a:ext uri="{FF2B5EF4-FFF2-40B4-BE49-F238E27FC236}">
              <a16:creationId xmlns:a16="http://schemas.microsoft.com/office/drawing/2014/main" id="{479D651D-DC10-4CC6-AD8F-8075F284CF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xdr:colOff>
      <xdr:row>63</xdr:row>
      <xdr:rowOff>22225</xdr:rowOff>
    </xdr:from>
    <xdr:to>
      <xdr:col>1</xdr:col>
      <xdr:colOff>660400</xdr:colOff>
      <xdr:row>79</xdr:row>
      <xdr:rowOff>177800</xdr:rowOff>
    </xdr:to>
    <xdr:graphicFrame macro="">
      <xdr:nvGraphicFramePr>
        <xdr:cNvPr id="7" name="Chart 6">
          <a:extLst>
            <a:ext uri="{FF2B5EF4-FFF2-40B4-BE49-F238E27FC236}">
              <a16:creationId xmlns:a16="http://schemas.microsoft.com/office/drawing/2014/main" id="{E3FC5821-C984-4735-BDE9-969FDF28A6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89</xdr:row>
      <xdr:rowOff>3175</xdr:rowOff>
    </xdr:from>
    <xdr:to>
      <xdr:col>6</xdr:col>
      <xdr:colOff>527050</xdr:colOff>
      <xdr:row>106</xdr:row>
      <xdr:rowOff>133350</xdr:rowOff>
    </xdr:to>
    <xdr:graphicFrame macro="">
      <xdr:nvGraphicFramePr>
        <xdr:cNvPr id="8" name="Chart 7">
          <a:extLst>
            <a:ext uri="{FF2B5EF4-FFF2-40B4-BE49-F238E27FC236}">
              <a16:creationId xmlns:a16="http://schemas.microsoft.com/office/drawing/2014/main" id="{95A190F0-AD52-49DF-9E35-64C350DB7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44450</xdr:colOff>
      <xdr:row>248</xdr:row>
      <xdr:rowOff>0</xdr:rowOff>
    </xdr:from>
    <xdr:to>
      <xdr:col>4</xdr:col>
      <xdr:colOff>57150</xdr:colOff>
      <xdr:row>270</xdr:row>
      <xdr:rowOff>139700</xdr:rowOff>
    </xdr:to>
    <xdr:pic>
      <xdr:nvPicPr>
        <xdr:cNvPr id="10" name="Picture 9">
          <a:extLst>
            <a:ext uri="{FF2B5EF4-FFF2-40B4-BE49-F238E27FC236}">
              <a16:creationId xmlns:a16="http://schemas.microsoft.com/office/drawing/2014/main" id="{89FF1401-2865-4BB6-A5D1-371739CCEB6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450" y="42468800"/>
          <a:ext cx="5962650"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746125</xdr:colOff>
      <xdr:row>63</xdr:row>
      <xdr:rowOff>34925</xdr:rowOff>
    </xdr:from>
    <xdr:to>
      <xdr:col>10</xdr:col>
      <xdr:colOff>571500</xdr:colOff>
      <xdr:row>79</xdr:row>
      <xdr:rowOff>146050</xdr:rowOff>
    </xdr:to>
    <xdr:graphicFrame macro="">
      <xdr:nvGraphicFramePr>
        <xdr:cNvPr id="6" name="Chart 5">
          <a:extLst>
            <a:ext uri="{FF2B5EF4-FFF2-40B4-BE49-F238E27FC236}">
              <a16:creationId xmlns:a16="http://schemas.microsoft.com/office/drawing/2014/main" id="{0EDECF20-9333-4A8E-BAFD-93884F3E0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435606</xdr:colOff>
      <xdr:row>30</xdr:row>
      <xdr:rowOff>164522</xdr:rowOff>
    </xdr:from>
    <xdr:to>
      <xdr:col>20</xdr:col>
      <xdr:colOff>372908</xdr:colOff>
      <xdr:row>44</xdr:row>
      <xdr:rowOff>164522</xdr:rowOff>
    </xdr:to>
    <xdr:pic>
      <xdr:nvPicPr>
        <xdr:cNvPr id="2" name="Picture 1">
          <a:extLst>
            <a:ext uri="{FF2B5EF4-FFF2-40B4-BE49-F238E27FC236}">
              <a16:creationId xmlns:a16="http://schemas.microsoft.com/office/drawing/2014/main" id="{92BF63B2-584B-42ED-A92F-8CF30CD578C0}"/>
            </a:ext>
          </a:extLst>
        </xdr:cNvPr>
        <xdr:cNvPicPr>
          <a:picLocks noChangeAspect="1"/>
        </xdr:cNvPicPr>
      </xdr:nvPicPr>
      <xdr:blipFill>
        <a:blip xmlns:r="http://schemas.openxmlformats.org/officeDocument/2006/relationships" r:embed="rId1"/>
        <a:stretch>
          <a:fillRect/>
        </a:stretch>
      </xdr:blipFill>
      <xdr:spPr>
        <a:xfrm>
          <a:off x="12932406" y="5866822"/>
          <a:ext cx="8903502"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3" name="Picture 2">
          <a:extLst>
            <a:ext uri="{FF2B5EF4-FFF2-40B4-BE49-F238E27FC236}">
              <a16:creationId xmlns:a16="http://schemas.microsoft.com/office/drawing/2014/main" id="{04848446-D3C6-4C81-8959-BC172B8E93A7}"/>
            </a:ext>
          </a:extLst>
        </xdr:cNvPr>
        <xdr:cNvPicPr>
          <a:picLocks noChangeAspect="1"/>
        </xdr:cNvPicPr>
      </xdr:nvPicPr>
      <xdr:blipFill>
        <a:blip xmlns:r="http://schemas.openxmlformats.org/officeDocument/2006/relationships" r:embed="rId2"/>
        <a:stretch>
          <a:fillRect/>
        </a:stretch>
      </xdr:blipFill>
      <xdr:spPr>
        <a:xfrm>
          <a:off x="13094278" y="9115091"/>
          <a:ext cx="8545123" cy="2360513"/>
        </a:xfrm>
        <a:prstGeom prst="rect">
          <a:avLst/>
        </a:prstGeom>
      </xdr:spPr>
    </xdr:pic>
    <xdr:clientData/>
  </xdr:twoCellAnchor>
  <xdr:twoCellAnchor editAs="oneCell">
    <xdr:from>
      <xdr:col>10</xdr:col>
      <xdr:colOff>435606</xdr:colOff>
      <xdr:row>30</xdr:row>
      <xdr:rowOff>164522</xdr:rowOff>
    </xdr:from>
    <xdr:to>
      <xdr:col>20</xdr:col>
      <xdr:colOff>372908</xdr:colOff>
      <xdr:row>44</xdr:row>
      <xdr:rowOff>164522</xdr:rowOff>
    </xdr:to>
    <xdr:pic>
      <xdr:nvPicPr>
        <xdr:cNvPr id="4" name="Picture 3">
          <a:extLst>
            <a:ext uri="{FF2B5EF4-FFF2-40B4-BE49-F238E27FC236}">
              <a16:creationId xmlns:a16="http://schemas.microsoft.com/office/drawing/2014/main" id="{F1A2CFBD-0CD8-4773-927D-2D5D4F22B48C}"/>
            </a:ext>
          </a:extLst>
        </xdr:cNvPr>
        <xdr:cNvPicPr>
          <a:picLocks noChangeAspect="1"/>
        </xdr:cNvPicPr>
      </xdr:nvPicPr>
      <xdr:blipFill>
        <a:blip xmlns:r="http://schemas.openxmlformats.org/officeDocument/2006/relationships" r:embed="rId1"/>
        <a:stretch>
          <a:fillRect/>
        </a:stretch>
      </xdr:blipFill>
      <xdr:spPr>
        <a:xfrm>
          <a:off x="12932406" y="5866822"/>
          <a:ext cx="8903502"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5" name="Picture 4">
          <a:extLst>
            <a:ext uri="{FF2B5EF4-FFF2-40B4-BE49-F238E27FC236}">
              <a16:creationId xmlns:a16="http://schemas.microsoft.com/office/drawing/2014/main" id="{F7A78234-E2F5-464B-B487-385C9196E2AE}"/>
            </a:ext>
          </a:extLst>
        </xdr:cNvPr>
        <xdr:cNvPicPr>
          <a:picLocks noChangeAspect="1"/>
        </xdr:cNvPicPr>
      </xdr:nvPicPr>
      <xdr:blipFill>
        <a:blip xmlns:r="http://schemas.openxmlformats.org/officeDocument/2006/relationships" r:embed="rId2"/>
        <a:stretch>
          <a:fillRect/>
        </a:stretch>
      </xdr:blipFill>
      <xdr:spPr>
        <a:xfrm>
          <a:off x="13094278" y="9115091"/>
          <a:ext cx="8545123" cy="2360513"/>
        </a:xfrm>
        <a:prstGeom prst="rect">
          <a:avLst/>
        </a:prstGeom>
      </xdr:spPr>
    </xdr:pic>
    <xdr:clientData/>
  </xdr:twoCellAnchor>
  <xdr:twoCellAnchor editAs="oneCell">
    <xdr:from>
      <xdr:col>10</xdr:col>
      <xdr:colOff>435606</xdr:colOff>
      <xdr:row>30</xdr:row>
      <xdr:rowOff>164522</xdr:rowOff>
    </xdr:from>
    <xdr:to>
      <xdr:col>20</xdr:col>
      <xdr:colOff>372908</xdr:colOff>
      <xdr:row>44</xdr:row>
      <xdr:rowOff>164522</xdr:rowOff>
    </xdr:to>
    <xdr:pic>
      <xdr:nvPicPr>
        <xdr:cNvPr id="6" name="Picture 5">
          <a:extLst>
            <a:ext uri="{FF2B5EF4-FFF2-40B4-BE49-F238E27FC236}">
              <a16:creationId xmlns:a16="http://schemas.microsoft.com/office/drawing/2014/main" id="{FD3FD723-1BBD-4D02-A94E-3A05B6C47886}"/>
            </a:ext>
          </a:extLst>
        </xdr:cNvPr>
        <xdr:cNvPicPr>
          <a:picLocks noChangeAspect="1"/>
        </xdr:cNvPicPr>
      </xdr:nvPicPr>
      <xdr:blipFill>
        <a:blip xmlns:r="http://schemas.openxmlformats.org/officeDocument/2006/relationships" r:embed="rId1"/>
        <a:stretch>
          <a:fillRect/>
        </a:stretch>
      </xdr:blipFill>
      <xdr:spPr>
        <a:xfrm>
          <a:off x="25864812" y="5866822"/>
          <a:ext cx="17807004"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7" name="Picture 6">
          <a:extLst>
            <a:ext uri="{FF2B5EF4-FFF2-40B4-BE49-F238E27FC236}">
              <a16:creationId xmlns:a16="http://schemas.microsoft.com/office/drawing/2014/main" id="{867B9922-F8E8-4440-9E37-9017D460B4EF}"/>
            </a:ext>
          </a:extLst>
        </xdr:cNvPr>
        <xdr:cNvPicPr>
          <a:picLocks noChangeAspect="1"/>
        </xdr:cNvPicPr>
      </xdr:nvPicPr>
      <xdr:blipFill>
        <a:blip xmlns:r="http://schemas.openxmlformats.org/officeDocument/2006/relationships" r:embed="rId2"/>
        <a:stretch>
          <a:fillRect/>
        </a:stretch>
      </xdr:blipFill>
      <xdr:spPr>
        <a:xfrm>
          <a:off x="26188556" y="9115091"/>
          <a:ext cx="17090246" cy="236051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Perez" id="{4C9B3BBC-0A2C-4C71-8E34-AB5EBDDE2483}" userId="S::d.perez@inensus.com::984cc980-54d8-4788-a8a4-a7bb7462f0b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7" dT="2024-02-01T15:45:09.45" personId="{4C9B3BBC-0A2C-4C71-8E34-AB5EBDDE2483}" id="{C2ED4AD8-1B6C-4AEB-A4E8-FA21A7046425}">
    <text>corresponding to the annual generation capacity from RE sources, minus losses</text>
  </threadedComment>
  <threadedComment ref="B50" dT="2024-02-21T09:24:24.20" personId="{4C9B3BBC-0A2C-4C71-8E34-AB5EBDDE2483}" id="{D5202240-BA25-4FB8-889B-AF141891D4DB}">
    <text>The Revenue Requirement will change after grid arrival. It should be calculated for each scenario, considering which assets have been transferred and which remain under the ownership and operation of the mini-grid developer. There is a module below allowing users to calculate it.</text>
  </threadedComment>
  <threadedComment ref="B52" dT="2024-02-01T15:45:26.80" personId="{4C9B3BBC-0A2C-4C71-8E34-AB5EBDDE2483}" id="{F2622B89-68CC-48FE-ACB0-672BB36CCF64}">
    <text>In order to accurately estimate end-user sales after grid arrival, it is important to consider price elasticity effects. If the end-user tariff becomes lower, demand will most likely increase. There is a module below allowing users to calculate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32C1-63D0-495D-9F1E-88C921D2711E}">
  <sheetPr>
    <tabColor theme="8" tint="0.79998168889431442"/>
    <pageSetUpPr fitToPage="1"/>
  </sheetPr>
  <dimension ref="A1:G94"/>
  <sheetViews>
    <sheetView tabSelected="1" zoomScale="81" zoomScaleNormal="100" workbookViewId="0">
      <selection activeCell="B2" sqref="B2"/>
    </sheetView>
  </sheetViews>
  <sheetFormatPr defaultRowHeight="14.4" x14ac:dyDescent="0.3"/>
  <cols>
    <col min="1" max="1" width="3.5546875" customWidth="1"/>
    <col min="2" max="2" width="62.44140625" style="30" bestFit="1" customWidth="1"/>
    <col min="3" max="3" width="78.44140625" style="16" customWidth="1"/>
  </cols>
  <sheetData>
    <row r="1" spans="1:3" x14ac:dyDescent="0.3">
      <c r="C1" s="16" t="s">
        <v>602</v>
      </c>
    </row>
    <row r="2" spans="1:3" x14ac:dyDescent="0.3">
      <c r="B2" s="22" t="s">
        <v>420</v>
      </c>
    </row>
    <row r="3" spans="1:3" x14ac:dyDescent="0.3">
      <c r="A3" s="22"/>
      <c r="B3" s="571"/>
      <c r="C3" s="571"/>
    </row>
    <row r="4" spans="1:3" x14ac:dyDescent="0.3">
      <c r="B4" s="571" t="s">
        <v>388</v>
      </c>
      <c r="C4" s="571"/>
    </row>
    <row r="5" spans="1:3" x14ac:dyDescent="0.3">
      <c r="B5" t="s">
        <v>451</v>
      </c>
    </row>
    <row r="6" spans="1:3" x14ac:dyDescent="0.3">
      <c r="B6" s="570" t="s">
        <v>465</v>
      </c>
      <c r="C6" s="571"/>
    </row>
    <row r="24" spans="1:7" x14ac:dyDescent="0.3">
      <c r="B24" s="15" t="s">
        <v>466</v>
      </c>
    </row>
    <row r="25" spans="1:7" x14ac:dyDescent="0.3">
      <c r="B25" s="15" t="s">
        <v>509</v>
      </c>
    </row>
    <row r="27" spans="1:7" s="517" customFormat="1" ht="13.8" x14ac:dyDescent="0.3">
      <c r="A27" s="3"/>
      <c r="B27" s="18" t="s">
        <v>472</v>
      </c>
      <c r="C27" s="3"/>
      <c r="D27" s="3"/>
      <c r="E27" s="3"/>
      <c r="F27" s="3"/>
      <c r="G27" s="17"/>
    </row>
    <row r="28" spans="1:7" s="517" customFormat="1" ht="13.8" x14ac:dyDescent="0.3">
      <c r="A28" s="3"/>
      <c r="B28" s="19" t="s">
        <v>376</v>
      </c>
      <c r="C28" s="3" t="s">
        <v>377</v>
      </c>
      <c r="D28" s="3"/>
      <c r="E28" s="3"/>
      <c r="F28" s="3"/>
      <c r="G28" s="17"/>
    </row>
    <row r="29" spans="1:7" s="517" customFormat="1" ht="13.8" x14ac:dyDescent="0.3">
      <c r="A29" s="3"/>
      <c r="B29" s="20" t="s">
        <v>378</v>
      </c>
      <c r="C29" s="3" t="s">
        <v>379</v>
      </c>
      <c r="D29" s="3"/>
      <c r="E29" s="3"/>
      <c r="F29" s="3"/>
      <c r="G29" s="17"/>
    </row>
    <row r="30" spans="1:7" s="517" customFormat="1" thickBot="1" x14ac:dyDescent="0.35">
      <c r="A30" s="3"/>
      <c r="B30" s="21" t="s">
        <v>380</v>
      </c>
      <c r="C30" s="3" t="s">
        <v>381</v>
      </c>
      <c r="D30" s="3"/>
      <c r="E30" s="3"/>
      <c r="F30" s="3"/>
      <c r="G30" s="17"/>
    </row>
    <row r="31" spans="1:7" s="517" customFormat="1" thickTop="1" x14ac:dyDescent="0.3">
      <c r="A31" s="3"/>
      <c r="B31" s="18"/>
      <c r="C31" s="3"/>
      <c r="D31" s="3"/>
      <c r="E31" s="3"/>
      <c r="F31" s="3"/>
      <c r="G31" s="17"/>
    </row>
    <row r="32" spans="1:7" s="22" customFormat="1" x14ac:dyDescent="0.3">
      <c r="B32" s="31" t="s">
        <v>419</v>
      </c>
      <c r="C32" s="27" t="s">
        <v>382</v>
      </c>
    </row>
    <row r="33" spans="1:3" s="22" customFormat="1" x14ac:dyDescent="0.3">
      <c r="A33" s="23"/>
      <c r="B33" s="32" t="str">
        <f>Inputs!A1</f>
        <v>1. Inputs</v>
      </c>
      <c r="C33" s="24"/>
    </row>
    <row r="34" spans="1:3" ht="115.2" x14ac:dyDescent="0.3">
      <c r="B34" s="33" t="str">
        <f>Inputs!A3</f>
        <v>1.1 Plant Capacity/Performance</v>
      </c>
      <c r="C34" s="30" t="s">
        <v>505</v>
      </c>
    </row>
    <row r="35" spans="1:3" x14ac:dyDescent="0.3">
      <c r="B35" s="34" t="str">
        <f>Inputs!A19</f>
        <v>1.2 Capital Costs and Useful lives</v>
      </c>
      <c r="C35" s="572" t="s">
        <v>506</v>
      </c>
    </row>
    <row r="36" spans="1:3" x14ac:dyDescent="0.3">
      <c r="B36" s="34" t="str">
        <f>Inputs!A23</f>
        <v xml:space="preserve">1.2.1 Solar </v>
      </c>
      <c r="C36" s="571"/>
    </row>
    <row r="37" spans="1:3" x14ac:dyDescent="0.3">
      <c r="B37" s="34" t="str">
        <f>Inputs!A46</f>
        <v>1.2.2 Wind</v>
      </c>
      <c r="C37" s="571"/>
    </row>
    <row r="38" spans="1:3" x14ac:dyDescent="0.3">
      <c r="B38" s="34" t="str">
        <f>Inputs!A62</f>
        <v>1.2.3 Hydro</v>
      </c>
      <c r="C38" s="571"/>
    </row>
    <row r="39" spans="1:3" x14ac:dyDescent="0.3">
      <c r="B39" s="34" t="str">
        <f>Inputs!A80</f>
        <v>1.2.4 Biomass</v>
      </c>
      <c r="C39" s="571"/>
    </row>
    <row r="40" spans="1:3" x14ac:dyDescent="0.3">
      <c r="B40" s="34" t="str">
        <f>Inputs!A98</f>
        <v>1.2.5 Floating Biogas</v>
      </c>
      <c r="C40" s="571"/>
    </row>
    <row r="41" spans="1:3" x14ac:dyDescent="0.3">
      <c r="B41" s="34" t="str">
        <f>Inputs!A116</f>
        <v>1.2.6 General or "shared" assets used in the electricity business</v>
      </c>
      <c r="C41" s="571"/>
    </row>
    <row r="42" spans="1:3" ht="72" x14ac:dyDescent="0.3">
      <c r="B42" s="34" t="str">
        <f>Inputs!A123</f>
        <v>1.2.7 Interest during construction (IDC)</v>
      </c>
      <c r="C42" s="16" t="s">
        <v>470</v>
      </c>
    </row>
    <row r="43" spans="1:3" ht="43.2" x14ac:dyDescent="0.3">
      <c r="B43" s="33" t="str">
        <f>Inputs!A131</f>
        <v>1.3 Working capital</v>
      </c>
      <c r="C43" s="16" t="s">
        <v>427</v>
      </c>
    </row>
    <row r="44" spans="1:3" ht="144" x14ac:dyDescent="0.3">
      <c r="B44" s="33" t="str">
        <f>Inputs!A136</f>
        <v>1.4 Operating and Maintenance (O&amp;M) costs</v>
      </c>
      <c r="C44" s="16" t="s">
        <v>507</v>
      </c>
    </row>
    <row r="45" spans="1:3" ht="72" x14ac:dyDescent="0.3">
      <c r="B45" s="33" t="str">
        <f>Inputs!A154</f>
        <v>1.5 Subsidies/Grants/Contributions Received</v>
      </c>
      <c r="C45" s="16" t="s">
        <v>421</v>
      </c>
    </row>
    <row r="46" spans="1:3" ht="28.8" x14ac:dyDescent="0.3">
      <c r="B46" s="33" t="str">
        <f>Inputs!A160</f>
        <v>1.6 Non-tariff revenues</v>
      </c>
      <c r="C46" s="16" t="s">
        <v>423</v>
      </c>
    </row>
    <row r="47" spans="1:3" x14ac:dyDescent="0.3">
      <c r="B47" s="33" t="str">
        <f>Inputs!A166</f>
        <v>1.7 Financing information</v>
      </c>
      <c r="C47" s="16" t="s">
        <v>458</v>
      </c>
    </row>
    <row r="48" spans="1:3" ht="28.8" x14ac:dyDescent="0.3">
      <c r="B48" s="34" t="str">
        <f>Inputs!A167</f>
        <v>1.7.1 Summary of Sources of Funding for Total Installed Capital Cost</v>
      </c>
      <c r="C48" s="16" t="s">
        <v>455</v>
      </c>
    </row>
    <row r="49" spans="1:3" ht="28.8" x14ac:dyDescent="0.3">
      <c r="B49" s="34" t="str">
        <f>Inputs!A175</f>
        <v>1.7.2 Debt Finance Terms</v>
      </c>
      <c r="C49" s="16" t="s">
        <v>424</v>
      </c>
    </row>
    <row r="50" spans="1:3" ht="43.2" x14ac:dyDescent="0.3">
      <c r="B50" s="34" t="str">
        <f>Inputs!A181</f>
        <v>1.7.3 Weighted Average Cost of Capital (WACC) in Nominal terms</v>
      </c>
      <c r="C50" s="16" t="s">
        <v>425</v>
      </c>
    </row>
    <row r="51" spans="1:3" ht="43.2" x14ac:dyDescent="0.3">
      <c r="B51" s="34" t="str">
        <f>Inputs!A189</f>
        <v>1.7.4 Construction Financing (Interest During Construction)</v>
      </c>
      <c r="C51" s="16" t="s">
        <v>456</v>
      </c>
    </row>
    <row r="52" spans="1:3" ht="86.4" x14ac:dyDescent="0.3">
      <c r="B52" s="33" t="str">
        <f>Inputs!A195</f>
        <v>1.8 Customer categories, consumption and cost causality</v>
      </c>
      <c r="C52" s="16" t="s">
        <v>508</v>
      </c>
    </row>
    <row r="53" spans="1:3" x14ac:dyDescent="0.3">
      <c r="B53" s="33" t="str">
        <f>Inputs!A211</f>
        <v>1.9 Economic data</v>
      </c>
      <c r="C53" s="16" t="s">
        <v>426</v>
      </c>
    </row>
    <row r="54" spans="1:3" ht="100.8" x14ac:dyDescent="0.3">
      <c r="B54" s="34" t="str">
        <f>Inputs!A220</f>
        <v>1.10 Forex Volatility Adjustment(To be added as a separate line to tariff)</v>
      </c>
      <c r="C54" s="16" t="s">
        <v>457</v>
      </c>
    </row>
    <row r="55" spans="1:3" x14ac:dyDescent="0.3">
      <c r="B55" s="33" t="str">
        <f>Inputs!A231</f>
        <v>1.11 Benchmarks</v>
      </c>
      <c r="C55" s="16" t="s">
        <v>446</v>
      </c>
    </row>
    <row r="56" spans="1:3" ht="86.4" x14ac:dyDescent="0.3">
      <c r="B56" s="33" t="str">
        <f>'Portfolio tab'!A1</f>
        <v>1.12 Inputs for Portfolio sites</v>
      </c>
      <c r="C56" s="16" t="s">
        <v>460</v>
      </c>
    </row>
    <row r="58" spans="1:3" s="22" customFormat="1" x14ac:dyDescent="0.3">
      <c r="A58" s="28"/>
      <c r="B58" s="35" t="str">
        <f>Calculations!A1</f>
        <v>2. Calculations</v>
      </c>
      <c r="C58" s="29"/>
    </row>
    <row r="59" spans="1:3" ht="57.6" x14ac:dyDescent="0.3">
      <c r="B59" s="34" t="str">
        <f>Calculations!A5</f>
        <v>2.1 Net Energy Output/Sold:</v>
      </c>
      <c r="C59" s="16" t="s">
        <v>428</v>
      </c>
    </row>
    <row r="60" spans="1:3" ht="100.8" x14ac:dyDescent="0.3">
      <c r="B60" s="34" t="str">
        <f>Calculations!A14</f>
        <v>2.2 Depreciation</v>
      </c>
      <c r="C60" s="16" t="s">
        <v>461</v>
      </c>
    </row>
    <row r="61" spans="1:3" ht="57.6" x14ac:dyDescent="0.3">
      <c r="B61" s="34" t="str">
        <f>Calculations!A21</f>
        <v>2.3 Revenue Requirement = O&amp;M + Depreciation + (Rate Base x WACC) + Tax Allowance</v>
      </c>
      <c r="C61" s="16" t="s">
        <v>433</v>
      </c>
    </row>
    <row r="62" spans="1:3" ht="58.95" customHeight="1" x14ac:dyDescent="0.3">
      <c r="B62" s="34" t="str">
        <f>Calculations!A43</f>
        <v>2.4 True up (IFRS 14 — Regulatory Deferral Accounts Balances)</v>
      </c>
      <c r="C62" s="16" t="s">
        <v>462</v>
      </c>
    </row>
    <row r="63" spans="1:3" ht="28.8" x14ac:dyDescent="0.3">
      <c r="B63" s="34" t="str">
        <f>Calculations!A49</f>
        <v>2.5 Mini grid valuation</v>
      </c>
      <c r="C63" s="16" t="s">
        <v>432</v>
      </c>
    </row>
    <row r="64" spans="1:3" ht="43.2" x14ac:dyDescent="0.3">
      <c r="B64" s="34" t="str">
        <f>Calculations!A59</f>
        <v>2.6 Tariffs Calculations</v>
      </c>
      <c r="C64" s="16" t="s">
        <v>431</v>
      </c>
    </row>
    <row r="65" spans="1:3" x14ac:dyDescent="0.3">
      <c r="B65" s="34" t="str">
        <f>Calculations!A108</f>
        <v>2.7 Financial Performance</v>
      </c>
      <c r="C65" s="572" t="s">
        <v>434</v>
      </c>
    </row>
    <row r="66" spans="1:3" x14ac:dyDescent="0.3">
      <c r="B66" s="34" t="str">
        <f>Calculations!A110</f>
        <v>2.7.1 Statement of Profit or Loss &amp; other Comprehensive Income</v>
      </c>
      <c r="C66" s="572"/>
    </row>
    <row r="67" spans="1:3" x14ac:dyDescent="0.3">
      <c r="B67" s="34" t="str">
        <f>Calculations!A123</f>
        <v>2.7.2 Project Cash Flows</v>
      </c>
      <c r="C67" s="572"/>
    </row>
    <row r="68" spans="1:3" x14ac:dyDescent="0.3">
      <c r="B68" s="34" t="str">
        <f>Calculations!A131</f>
        <v>2.7.3 Debt Ratios and Cashflows available for debt service</v>
      </c>
      <c r="C68" s="572"/>
    </row>
    <row r="69" spans="1:3" x14ac:dyDescent="0.3">
      <c r="B69" s="34" t="str">
        <f>Calculations!A137</f>
        <v>2.7.4 Project NPV and IRR</v>
      </c>
      <c r="C69" s="572"/>
    </row>
    <row r="70" spans="1:3" ht="28.8" x14ac:dyDescent="0.3">
      <c r="B70" s="34" t="str">
        <f>Calculations!A143</f>
        <v>2.7.5 Debt repayment schedule</v>
      </c>
      <c r="C70" s="16" t="s">
        <v>430</v>
      </c>
    </row>
    <row r="71" spans="1:3" ht="28.8" x14ac:dyDescent="0.3">
      <c r="B71" s="34" t="str">
        <f>Calculations!A161</f>
        <v>2.8 Benchmarks</v>
      </c>
      <c r="C71" s="16" t="s">
        <v>435</v>
      </c>
    </row>
    <row r="73" spans="1:3" s="22" customFormat="1" x14ac:dyDescent="0.3">
      <c r="A73" s="25"/>
      <c r="B73" s="36" t="str">
        <f>Outputs!A1</f>
        <v>3. Outputs</v>
      </c>
      <c r="C73" s="26"/>
    </row>
    <row r="74" spans="1:3" ht="100.8" x14ac:dyDescent="0.3">
      <c r="B74" s="34" t="str">
        <f>Outputs!A4</f>
        <v>3.1(a) Tariffs Structure by customer category</v>
      </c>
      <c r="C74" s="16" t="s">
        <v>494</v>
      </c>
    </row>
    <row r="75" spans="1:3" x14ac:dyDescent="0.3">
      <c r="B75" s="34" t="str">
        <f>Outputs!A22</f>
        <v>3.1(b) Graph of the tariffs</v>
      </c>
      <c r="C75" s="16" t="s">
        <v>438</v>
      </c>
    </row>
    <row r="76" spans="1:3" x14ac:dyDescent="0.3">
      <c r="B76" s="34" t="str">
        <f>Outputs!A50</f>
        <v>3.2(a) Financial indicators</v>
      </c>
      <c r="C76" s="16" t="s">
        <v>436</v>
      </c>
    </row>
    <row r="77" spans="1:3" x14ac:dyDescent="0.3">
      <c r="B77" s="34" t="str">
        <f>Outputs!A63</f>
        <v>3.2(b) Financial indicators Graphs</v>
      </c>
      <c r="C77" s="16" t="s">
        <v>437</v>
      </c>
    </row>
    <row r="78" spans="1:3" x14ac:dyDescent="0.3">
      <c r="B78" s="34" t="str">
        <f>Outputs!A83</f>
        <v>3.3(a) Mini grid Valuation</v>
      </c>
      <c r="C78" s="16" t="s">
        <v>439</v>
      </c>
    </row>
    <row r="79" spans="1:3" x14ac:dyDescent="0.3">
      <c r="B79" s="34" t="str">
        <f>Outputs!A89</f>
        <v>3.3(b) Mini grid Valuation Graph</v>
      </c>
      <c r="C79" s="16" t="s">
        <v>440</v>
      </c>
    </row>
    <row r="80" spans="1:3" ht="28.8" x14ac:dyDescent="0.3">
      <c r="B80" s="34" t="str">
        <f>Outputs!A109</f>
        <v>3.4(a) Depreciation</v>
      </c>
      <c r="C80" s="16" t="s">
        <v>441</v>
      </c>
    </row>
    <row r="81" spans="2:3" ht="28.8" x14ac:dyDescent="0.3">
      <c r="B81" s="34" t="str">
        <f>Outputs!A116</f>
        <v>3.4(b) Depreciation Comparison Graphs</v>
      </c>
      <c r="C81" s="16" t="s">
        <v>442</v>
      </c>
    </row>
    <row r="82" spans="2:3" ht="28.8" x14ac:dyDescent="0.3">
      <c r="B82" s="34" t="str">
        <f>Outputs!A135</f>
        <v>3.5 Benchmarks comparisons</v>
      </c>
      <c r="C82" s="16" t="s">
        <v>443</v>
      </c>
    </row>
    <row r="83" spans="2:3" ht="86.4" x14ac:dyDescent="0.3">
      <c r="B83" s="34" t="str">
        <f>Outputs!A155</f>
        <v>3.6 Sensitivity scenarios outputs</v>
      </c>
      <c r="C83" s="16" t="s">
        <v>449</v>
      </c>
    </row>
    <row r="84" spans="2:3" ht="72" x14ac:dyDescent="0.3">
      <c r="B84" s="34" t="str">
        <f>Outputs!A156</f>
        <v>3.6.1 Inputs variations - Change that input value and then use "paste special values"</v>
      </c>
      <c r="C84" s="16" t="s">
        <v>445</v>
      </c>
    </row>
    <row r="85" spans="2:3" ht="72" x14ac:dyDescent="0.3">
      <c r="B85" s="34" t="str">
        <f>Outputs!A173</f>
        <v>3.6.2 Outputs variations - use "goal seek" and then "paste special values"</v>
      </c>
      <c r="C85" s="16" t="s">
        <v>444</v>
      </c>
    </row>
    <row r="86" spans="2:3" ht="28.8" x14ac:dyDescent="0.3">
      <c r="B86" s="34" t="str">
        <f>Outputs!A193</f>
        <v>3.6.3 Relating subsidies to connections to tariffs = use same approach as #3.6.2(c)</v>
      </c>
      <c r="C86" s="16" t="s">
        <v>447</v>
      </c>
    </row>
    <row r="87" spans="2:3" ht="43.2" x14ac:dyDescent="0.3">
      <c r="B87" s="34" t="str">
        <f>Outputs!A211</f>
        <v>3.6.4 Price elasticity of demand – inputs and outputs</v>
      </c>
      <c r="C87" s="16" t="s">
        <v>448</v>
      </c>
    </row>
    <row r="89" spans="2:3" x14ac:dyDescent="0.3">
      <c r="B89" s="569" t="s">
        <v>530</v>
      </c>
      <c r="C89" s="564"/>
    </row>
    <row r="90" spans="2:3" ht="47.55" customHeight="1" x14ac:dyDescent="0.3">
      <c r="B90" s="565" t="s">
        <v>531</v>
      </c>
      <c r="C90" s="566" t="s">
        <v>595</v>
      </c>
    </row>
    <row r="91" spans="2:3" ht="57.6" x14ac:dyDescent="0.3">
      <c r="B91" s="565" t="s">
        <v>544</v>
      </c>
      <c r="C91" s="566" t="s">
        <v>596</v>
      </c>
    </row>
    <row r="92" spans="2:3" ht="57.6" x14ac:dyDescent="0.3">
      <c r="B92" s="565" t="s">
        <v>549</v>
      </c>
      <c r="C92" s="567" t="s">
        <v>597</v>
      </c>
    </row>
    <row r="93" spans="2:3" ht="187.2" x14ac:dyDescent="0.3">
      <c r="B93" s="568" t="s">
        <v>598</v>
      </c>
      <c r="C93" s="566" t="s">
        <v>599</v>
      </c>
    </row>
    <row r="94" spans="2:3" ht="158.4" x14ac:dyDescent="0.3">
      <c r="B94" s="565" t="s">
        <v>600</v>
      </c>
      <c r="C94" s="566" t="s">
        <v>601</v>
      </c>
    </row>
  </sheetData>
  <sheetProtection algorithmName="SHA-512" hashValue="jfYPmze1wLsVyjay1GnY/OUEjHhMUgzh8eVreHW5BEFdcpvIuimswGK+SI3ZFH+3tzU8/iOlxLDTT5+LizFyAw==" saltValue="uTRRKBXoFQlbss+WXeaoYQ==" spinCount="100000" sheet="1" formatCells="0" formatColumns="0" formatRows="0" insertHyperlinks="0"/>
  <protectedRanges>
    <protectedRange sqref="B44:B46 B3:B8" name="Complex Inputs"/>
    <protectedRange sqref="B32:B34 C33 B23:B25 D23:D25 D32:D34" name="Complex Inputs_2"/>
    <protectedRange sqref="D37:D42 B37:B42" name="Complex Inputs_4"/>
    <protectedRange sqref="D4:D11" name="Complex Inputs_5"/>
    <protectedRange sqref="D13:D21" name="Complex Inputs_6"/>
  </protectedRanges>
  <mergeCells count="5">
    <mergeCell ref="B6:C6"/>
    <mergeCell ref="B4:C4"/>
    <mergeCell ref="C35:C41"/>
    <mergeCell ref="C65:C69"/>
    <mergeCell ref="B3:C3"/>
  </mergeCells>
  <hyperlinks>
    <hyperlink ref="B34" location="Inputs!A3" display="Inputs!A3" xr:uid="{1259E57E-4363-4182-8A80-1D297E60B511}"/>
    <hyperlink ref="B33" location="Inputs!A1" display="Inputs!A1" xr:uid="{B8AD28A4-9D1E-4627-8948-DE2C3663CB15}"/>
    <hyperlink ref="B35" location="Inputs!A19" display="Inputs!A19" xr:uid="{73547D4A-D048-4900-82E6-BDBD89D5E96B}"/>
    <hyperlink ref="B36" location="Inputs!A23" display="Inputs!A23" xr:uid="{DE7D2D05-31A5-464E-B6B8-EC389E2A18A6}"/>
    <hyperlink ref="B37" location="Inputs!A46" display="Inputs!A46" xr:uid="{302A1130-B302-4712-9276-3F80A6CF2792}"/>
    <hyperlink ref="B38" location="Inputs!A62" display="Inputs!A62" xr:uid="{34813CAB-EC04-4A1C-A8DC-65B3E82DBC5A}"/>
    <hyperlink ref="B39" location="Inputs!A80" display="Inputs!A80" xr:uid="{0A22F438-0958-44A5-BAD3-1A85B1D18915}"/>
    <hyperlink ref="B42" location="Inputs!A123" display="Inputs!A123" xr:uid="{4CFFE01D-C2A1-43F2-9DC7-82227E0C9C31}"/>
    <hyperlink ref="B40" location="Inputs!A98" display="Inputs!A98" xr:uid="{26BCDFC7-1692-4360-B58F-AC0A76E61590}"/>
    <hyperlink ref="B41" location="Inputs!A116" display="Inputs!A116" xr:uid="{57BC325E-2E17-4050-ADB3-871F462BB0B6}"/>
    <hyperlink ref="B43" location="Inputs!A131" display="Inputs!A131" xr:uid="{B0BC7C64-36E3-4639-BE49-B6AE921E0863}"/>
    <hyperlink ref="B44" location="Inputs!A136" display="Inputs!A136" xr:uid="{89837D87-72EB-45D5-BB19-665E6E70133B}"/>
    <hyperlink ref="B45" location="Inputs!A154" display="Inputs!A154" xr:uid="{1016EF6E-CA05-40F7-94E5-C6C77C5B8361}"/>
    <hyperlink ref="B46" location="Inputs!A160" display="Inputs!A160" xr:uid="{32E20969-B0AC-4513-BC1D-CE85AE0A4B12}"/>
    <hyperlink ref="B47" location="Inputs!A166" display="Inputs!A166" xr:uid="{8164E50A-E036-4D21-8C36-8D3C5FFB3C22}"/>
    <hyperlink ref="B48" location="Inputs!A167" display="Inputs!A167" xr:uid="{7BB5F141-227C-43FA-A390-3AC9D60611C8}"/>
    <hyperlink ref="B49" location="Inputs!A175" display="Inputs!A175" xr:uid="{A061FC85-D880-455A-88D5-C95F62239B7D}"/>
    <hyperlink ref="B50" location="Inputs!A181" display="Inputs!A181" xr:uid="{9FEB5E2B-CE9A-4F8A-BE43-47F1C4C59D0A}"/>
    <hyperlink ref="B51" location="Inputs!A189" display="Inputs!A189" xr:uid="{9FABA1F0-479E-4380-8C59-77433ABF83B0}"/>
    <hyperlink ref="B52" location="Inputs!A195" display="Inputs!A195" xr:uid="{657677F1-8481-4E88-B309-328476AC3039}"/>
    <hyperlink ref="B53" location="Inputs!A211" display="Inputs!A211" xr:uid="{54B8C1EE-A810-4D4D-9CEC-DA735C26039D}"/>
    <hyperlink ref="B54" location="Inputs!A220" display="Inputs!A220" xr:uid="{C289CEDE-A511-48C6-8DC0-5045D5BA634D}"/>
    <hyperlink ref="B55" location="Inputs!A231" display="Inputs!A231" xr:uid="{CD37B920-846A-487E-8528-924286A56EC9}"/>
    <hyperlink ref="B58" location="Calculations!A1" display="Calculations!A1" xr:uid="{064F909B-835F-4048-832F-12B698CBABC2}"/>
    <hyperlink ref="B59" location="Calculations!A5" display="Calculations!A5" xr:uid="{FF5CB57E-05EF-4CE4-BC10-4D673F0EE54F}"/>
    <hyperlink ref="B60" location="Calculations!A14" display="Calculations!A14" xr:uid="{F3E76106-5EBC-4682-8267-7708015AE834}"/>
    <hyperlink ref="B61" location="Calculations!A21" display="Calculations!A21" xr:uid="{EB096405-5612-48A1-8702-F263C2CFA190}"/>
    <hyperlink ref="B62" location="Calculations!A43" display="Calculations!A43" xr:uid="{25640B86-88A4-44FE-B71F-A1475CBD6DEE}"/>
    <hyperlink ref="B63" location="Calculations!A49" display="Calculations!A49" xr:uid="{0CE28893-D34F-4E36-B699-68844D78AD35}"/>
    <hyperlink ref="B64" location="Calculations!A59" display="Calculations!A59" xr:uid="{BC63BD92-0421-41C4-9151-64E4E35D3CC9}"/>
    <hyperlink ref="B65" location="Calculations!A108" display="Calculations!A108" xr:uid="{3EE566BE-4736-431A-94DF-3DF6E37C3FB9}"/>
    <hyperlink ref="B66" location="Calculations!A110" display="Calculations!A110" xr:uid="{C54BD9E4-7AED-464A-908F-90ADBDB04AFF}"/>
    <hyperlink ref="B67" location="Calculations!A123" display="Calculations!A123" xr:uid="{5C81E342-2FA5-47C8-8A74-0C93E1825902}"/>
    <hyperlink ref="B68" location="Calculations!A131" display="Calculations!A131" xr:uid="{BDA2A305-A624-43D5-A51A-BFC025C36E9D}"/>
    <hyperlink ref="B69" location="Calculations!A137" display="Calculations!A137" xr:uid="{9AC0BF74-9FF9-4680-8500-113334A9A59F}"/>
    <hyperlink ref="B70" location="Calculations!A143" display="Calculations!A143" xr:uid="{247362AA-42D0-4C5D-9732-8BF2180B602A}"/>
    <hyperlink ref="B71" location="Calculations!A161" display="Calculations!A161" xr:uid="{0D0EE691-D328-4459-A459-40098C0F3F7D}"/>
    <hyperlink ref="B56" location="'Portfolio tab'!A1" display="'Portfolio tab'!A1" xr:uid="{DC535B96-0C2A-417D-8F91-2CE58576D11A}"/>
    <hyperlink ref="B73" location="Outputs!A1" display="Outputs!A1" xr:uid="{580AAC5A-6B69-4110-B38B-540F9C9969FF}"/>
    <hyperlink ref="B74" location="Outputs!A4" display="Outputs!A4" xr:uid="{4C71E205-90C0-4FA5-8BDB-4558814851DF}"/>
    <hyperlink ref="B75" location="Outputs!A22" display="Outputs!A22" xr:uid="{715BEC65-AF34-404B-B849-B59905355396}"/>
    <hyperlink ref="B76" location="Outputs!A50" display="Outputs!A50" xr:uid="{85A69ACB-0ECA-4A3C-AB42-9A0BF137E67D}"/>
    <hyperlink ref="B77" location="Outputs!A63" display="Outputs!A63" xr:uid="{21B77E5C-654A-4F0B-BF22-A5C923ED1270}"/>
    <hyperlink ref="B78" location="Outputs!A83" display="Outputs!A83" xr:uid="{253034C8-CE2B-4DC2-8037-CE385DD0DB5B}"/>
    <hyperlink ref="B79" location="Outputs!A89" display="Outputs!A89" xr:uid="{58B49676-F429-41B4-A171-CFAE5E5AD0D3}"/>
    <hyperlink ref="B80" location="Outputs!A109" display="Outputs!A109" xr:uid="{79397E90-0A88-41CF-B3E7-10DB4E1FF58D}"/>
    <hyperlink ref="B81" location="Outputs!A116" display="Outputs!A116" xr:uid="{ED5291E6-8487-45FD-BFCF-CF57BB6FB883}"/>
    <hyperlink ref="B82" location="Outputs!A135" display="Outputs!A135" xr:uid="{F6C13BB2-AC7C-4430-B496-E36E75EA38F0}"/>
    <hyperlink ref="B85" location="Outputs!A173" display="Outputs!A173" xr:uid="{0F453F26-F23A-4335-B5DB-39D760EF9B9A}"/>
    <hyperlink ref="B83" location="Outputs!A155" display="Outputs!A155" xr:uid="{F937DD91-2F8E-4B94-B4C1-81564EFA5DAB}"/>
    <hyperlink ref="B84" location="Outputs!A156" display="Outputs!A156" xr:uid="{070FE6FE-DBE2-45F5-B17F-91CFB81F48B7}"/>
    <hyperlink ref="B86" location="Outputs!A193" display="Outputs!A193" xr:uid="{29D2CE12-5BE3-4BC7-8BF7-1A0A41824CD8}"/>
    <hyperlink ref="B87" location="Outputs!A196" display="Outputs!A196" xr:uid="{667FC870-73AE-4EEF-9568-04777C896B6A}"/>
    <hyperlink ref="B90" location="'Grid arrival'!B2" display="4.1 Mini-Grid Performance Data" xr:uid="{08AB2B69-82E4-4C32-9962-1690936D29DD}"/>
    <hyperlink ref="B91" location="'Grid arrival'!B19" display="4.2 Grid arrival inputs" xr:uid="{013CFA36-F878-405C-AF0A-4C6867BAEAD8}"/>
    <hyperlink ref="B92" location="'Grid arrival'!B26" display="4.3 Calculation results" xr:uid="{861950AA-3ACF-483C-A89D-CFBC2469DF08}"/>
    <hyperlink ref="B93" location="'Grid arrival'!B28" display="4.3.1 Option 1: Compensation based" xr:uid="{953DF1FB-F62D-4EB0-8436-C72F7DB69453}"/>
    <hyperlink ref="B94" location="'Grid arrival'!B44" display="4.3.2 Option 2: Tariffs-based" xr:uid="{D2D46891-2F56-4C99-94BB-D9E21C449617}"/>
    <hyperlink ref="B89" location="'Grid arrival'!B1" display="4. Grid Arrival" xr:uid="{BD16CAE1-1A4B-457A-93D5-E3CEF1508E9A}"/>
  </hyperlinks>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A57F-AE94-4A6C-A85B-FB98C6E607C6}">
  <sheetPr>
    <tabColor theme="8" tint="0.39997558519241921"/>
  </sheetPr>
  <dimension ref="A1:B14"/>
  <sheetViews>
    <sheetView showGridLines="0" workbookViewId="0">
      <selection activeCell="B4" sqref="B4"/>
    </sheetView>
  </sheetViews>
  <sheetFormatPr defaultRowHeight="14.4" x14ac:dyDescent="0.3"/>
  <cols>
    <col min="1" max="1" width="21.77734375" bestFit="1" customWidth="1"/>
    <col min="2" max="2" width="33.33203125" customWidth="1"/>
    <col min="3" max="3" width="17.5546875" bestFit="1" customWidth="1"/>
    <col min="4" max="4" width="17.33203125" customWidth="1"/>
  </cols>
  <sheetData>
    <row r="1" spans="1:2" ht="15.6" x14ac:dyDescent="0.3">
      <c r="A1" s="573" t="s">
        <v>514</v>
      </c>
      <c r="B1" s="574"/>
    </row>
    <row r="2" spans="1:2" ht="22.95" customHeight="1" x14ac:dyDescent="0.3">
      <c r="A2" s="494" t="s">
        <v>513</v>
      </c>
      <c r="B2" s="518" t="s">
        <v>525</v>
      </c>
    </row>
    <row r="3" spans="1:2" x14ac:dyDescent="0.3">
      <c r="A3" s="575" t="s">
        <v>515</v>
      </c>
      <c r="B3" s="576"/>
    </row>
    <row r="4" spans="1:2" x14ac:dyDescent="0.3">
      <c r="A4" s="492" t="s">
        <v>526</v>
      </c>
      <c r="B4" s="90"/>
    </row>
    <row r="5" spans="1:2" x14ac:dyDescent="0.3">
      <c r="A5" s="492" t="s">
        <v>517</v>
      </c>
      <c r="B5" s="90"/>
    </row>
    <row r="6" spans="1:2" x14ac:dyDescent="0.3">
      <c r="A6" s="492" t="s">
        <v>518</v>
      </c>
      <c r="B6" s="90"/>
    </row>
    <row r="7" spans="1:2" x14ac:dyDescent="0.3">
      <c r="A7" s="492" t="s">
        <v>519</v>
      </c>
      <c r="B7" s="90"/>
    </row>
    <row r="8" spans="1:2" x14ac:dyDescent="0.3">
      <c r="A8" s="575" t="s">
        <v>516</v>
      </c>
      <c r="B8" s="576"/>
    </row>
    <row r="9" spans="1:2" x14ac:dyDescent="0.3">
      <c r="A9" s="492" t="s">
        <v>520</v>
      </c>
      <c r="B9" s="90"/>
    </row>
    <row r="10" spans="1:2" x14ac:dyDescent="0.3">
      <c r="A10" s="492" t="s">
        <v>521</v>
      </c>
      <c r="B10" s="90"/>
    </row>
    <row r="11" spans="1:2" x14ac:dyDescent="0.3">
      <c r="A11" s="492" t="s">
        <v>522</v>
      </c>
      <c r="B11" s="90"/>
    </row>
    <row r="12" spans="1:2" x14ac:dyDescent="0.3">
      <c r="A12" s="492" t="s">
        <v>512</v>
      </c>
      <c r="B12" s="90"/>
    </row>
    <row r="13" spans="1:2" x14ac:dyDescent="0.3">
      <c r="A13" s="493" t="s">
        <v>523</v>
      </c>
      <c r="B13" s="90"/>
    </row>
    <row r="14" spans="1:2" x14ac:dyDescent="0.3">
      <c r="A14" s="493" t="s">
        <v>524</v>
      </c>
      <c r="B14" s="90"/>
    </row>
  </sheetData>
  <sheetProtection algorithmName="SHA-512" hashValue="di7JSjyEswhCIl51ARqVfV/L0RF5LQQtUJZ0Lwk2NHH/CevB2B1TigvfxWDWj5Ln51G0/tL18+53UwpBYHIwbw==" saltValue="+PSsjypMzk18wFC5bkcRNw==" spinCount="100000" sheet="1" objects="1" scenarios="1"/>
  <mergeCells count="3">
    <mergeCell ref="A1:B1"/>
    <mergeCell ref="A3:B3"/>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297F-3B8F-4A06-BBEB-A745B5883A8F}">
  <sheetPr>
    <tabColor theme="8" tint="-0.249977111117893"/>
  </sheetPr>
  <dimension ref="A1:KT376"/>
  <sheetViews>
    <sheetView zoomScale="98" zoomScaleNormal="100" workbookViewId="0">
      <selection activeCell="C214" sqref="C214"/>
    </sheetView>
  </sheetViews>
  <sheetFormatPr defaultColWidth="9.21875" defaultRowHeight="14.4" x14ac:dyDescent="0.3"/>
  <cols>
    <col min="1" max="1" width="54.21875" style="45" customWidth="1"/>
    <col min="2" max="2" width="12" style="57" bestFit="1" customWidth="1"/>
    <col min="3" max="4" width="11.44140625" style="45" customWidth="1"/>
    <col min="5" max="5" width="11.44140625" style="46" customWidth="1"/>
    <col min="6" max="7" width="11.44140625" style="45" customWidth="1"/>
    <col min="8" max="9" width="10.21875" style="45" bestFit="1" customWidth="1"/>
    <col min="10" max="10" width="9.21875" style="45"/>
    <col min="11" max="11" width="12" style="45" bestFit="1" customWidth="1"/>
    <col min="12" max="14" width="9.21875" style="45"/>
    <col min="15" max="15" width="10.21875" style="45" bestFit="1" customWidth="1"/>
    <col min="16" max="22" width="9.21875" style="45"/>
    <col min="23" max="23" width="10.21875" style="45" bestFit="1" customWidth="1"/>
    <col min="24" max="30" width="9.21875" style="45"/>
    <col min="31" max="31" width="10.21875" style="45" bestFit="1" customWidth="1"/>
    <col min="32" max="32" width="9.21875" style="45"/>
    <col min="33" max="33" width="15.77734375" style="46" bestFit="1" customWidth="1"/>
    <col min="34" max="35" width="13.21875" style="46" bestFit="1" customWidth="1"/>
    <col min="36" max="16384" width="9.21875" style="45"/>
  </cols>
  <sheetData>
    <row r="1" spans="1:45" ht="18" x14ac:dyDescent="0.35">
      <c r="A1" s="43" t="s">
        <v>89</v>
      </c>
      <c r="B1" s="44"/>
      <c r="C1" s="44"/>
    </row>
    <row r="2" spans="1:45" x14ac:dyDescent="0.3">
      <c r="A2" s="47"/>
      <c r="B2" s="44"/>
      <c r="C2" s="44"/>
      <c r="E2" s="44"/>
    </row>
    <row r="3" spans="1:45" s="49" customFormat="1" ht="15.6" x14ac:dyDescent="0.3">
      <c r="A3" s="48" t="s">
        <v>394</v>
      </c>
      <c r="B3" s="48"/>
      <c r="C3" s="48"/>
      <c r="E3" s="44"/>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1"/>
      <c r="AH3" s="51"/>
      <c r="AI3" s="51"/>
      <c r="AJ3" s="50"/>
      <c r="AK3" s="50"/>
      <c r="AL3" s="50"/>
      <c r="AM3" s="50"/>
      <c r="AN3" s="50"/>
      <c r="AO3" s="50"/>
      <c r="AP3" s="50"/>
      <c r="AQ3" s="50"/>
      <c r="AR3" s="50"/>
      <c r="AS3" s="50"/>
    </row>
    <row r="4" spans="1:45" s="53" customFormat="1" x14ac:dyDescent="0.3">
      <c r="A4" s="52"/>
      <c r="B4" s="52" t="s">
        <v>47</v>
      </c>
      <c r="C4" s="52" t="s">
        <v>48</v>
      </c>
      <c r="E4" s="4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row>
    <row r="5" spans="1:45" x14ac:dyDescent="0.3">
      <c r="A5" s="55" t="s">
        <v>115</v>
      </c>
      <c r="B5" s="5" t="s">
        <v>230</v>
      </c>
      <c r="C5" s="4"/>
      <c r="E5" s="56"/>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6"/>
      <c r="AH5" s="56"/>
      <c r="AI5" s="56"/>
      <c r="AJ5" s="57"/>
      <c r="AK5" s="57"/>
      <c r="AL5" s="57"/>
      <c r="AM5" s="57"/>
      <c r="AN5" s="57"/>
      <c r="AO5" s="57"/>
      <c r="AP5" s="57"/>
      <c r="AQ5" s="57"/>
      <c r="AR5" s="57"/>
      <c r="AS5" s="57"/>
    </row>
    <row r="6" spans="1:45" x14ac:dyDescent="0.3">
      <c r="A6" s="55" t="s">
        <v>476</v>
      </c>
      <c r="B6" s="5" t="s">
        <v>85</v>
      </c>
      <c r="C6" s="128">
        <f>365*24</f>
        <v>8760</v>
      </c>
    </row>
    <row r="7" spans="1:45" x14ac:dyDescent="0.3">
      <c r="A7" s="55" t="s">
        <v>82</v>
      </c>
      <c r="B7" s="5" t="s">
        <v>83</v>
      </c>
      <c r="C7" s="6"/>
      <c r="E7" s="56"/>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6"/>
      <c r="AH7" s="56"/>
      <c r="AI7" s="56"/>
      <c r="AJ7" s="57"/>
      <c r="AK7" s="57"/>
      <c r="AL7" s="57"/>
      <c r="AM7" s="57"/>
      <c r="AN7" s="57"/>
      <c r="AO7" s="57"/>
      <c r="AP7" s="57"/>
      <c r="AQ7" s="57"/>
      <c r="AR7" s="57"/>
      <c r="AS7" s="57"/>
    </row>
    <row r="8" spans="1:45" x14ac:dyDescent="0.3">
      <c r="A8" s="55" t="s">
        <v>482</v>
      </c>
      <c r="B8" s="5" t="s">
        <v>86</v>
      </c>
      <c r="C8" s="128">
        <f>IF(B5="kWp",C5*C6*C7,C5*C6*C7*1000)</f>
        <v>0</v>
      </c>
    </row>
    <row r="9" spans="1:45" x14ac:dyDescent="0.3">
      <c r="A9" s="55" t="s">
        <v>84</v>
      </c>
      <c r="B9" s="5" t="s">
        <v>83</v>
      </c>
      <c r="C9" s="6">
        <v>0.95</v>
      </c>
    </row>
    <row r="10" spans="1:45" x14ac:dyDescent="0.3">
      <c r="A10" s="55" t="s">
        <v>483</v>
      </c>
      <c r="B10" s="5" t="s">
        <v>86</v>
      </c>
      <c r="C10" s="128">
        <f>C8*C9</f>
        <v>0</v>
      </c>
    </row>
    <row r="11" spans="1:45" x14ac:dyDescent="0.3">
      <c r="A11" s="55" t="s">
        <v>501</v>
      </c>
      <c r="B11" s="5" t="s">
        <v>83</v>
      </c>
      <c r="C11" s="6">
        <v>0.03</v>
      </c>
    </row>
    <row r="12" spans="1:45" x14ac:dyDescent="0.3">
      <c r="A12" s="55" t="s">
        <v>503</v>
      </c>
      <c r="B12" s="5" t="s">
        <v>86</v>
      </c>
      <c r="C12" s="128">
        <f>C10*(1-C11)</f>
        <v>0</v>
      </c>
    </row>
    <row r="13" spans="1:45" x14ac:dyDescent="0.3">
      <c r="A13" s="55" t="s">
        <v>88</v>
      </c>
      <c r="B13" s="5" t="s">
        <v>83</v>
      </c>
      <c r="C13" s="6">
        <v>0.15</v>
      </c>
    </row>
    <row r="14" spans="1:45" x14ac:dyDescent="0.3">
      <c r="A14" s="55" t="s">
        <v>131</v>
      </c>
      <c r="B14" s="5" t="s">
        <v>86</v>
      </c>
      <c r="C14" s="129">
        <f>C12*(1-C13)</f>
        <v>0</v>
      </c>
    </row>
    <row r="15" spans="1:45" x14ac:dyDescent="0.3">
      <c r="A15" s="55" t="s">
        <v>90</v>
      </c>
      <c r="B15" s="5" t="s">
        <v>83</v>
      </c>
      <c r="C15" s="10">
        <v>2.5000000000000001E-3</v>
      </c>
    </row>
    <row r="16" spans="1:45" x14ac:dyDescent="0.3">
      <c r="A16" s="55" t="s">
        <v>502</v>
      </c>
      <c r="B16" s="58" t="s">
        <v>87</v>
      </c>
      <c r="C16" s="9">
        <v>25</v>
      </c>
    </row>
    <row r="17" spans="1:45" x14ac:dyDescent="0.3">
      <c r="A17" s="59"/>
      <c r="B17" s="60"/>
      <c r="C17" s="60"/>
      <c r="D17" s="61"/>
      <c r="E17" s="61"/>
      <c r="F17" s="61"/>
      <c r="G17" s="61"/>
      <c r="H17" s="61"/>
    </row>
    <row r="18" spans="1:45" x14ac:dyDescent="0.3">
      <c r="A18" s="59"/>
      <c r="B18" s="60"/>
      <c r="C18" s="60"/>
      <c r="D18" s="61"/>
      <c r="E18" s="61"/>
      <c r="F18" s="61"/>
      <c r="G18" s="61"/>
      <c r="H18" s="61"/>
    </row>
    <row r="19" spans="1:45" s="49" customFormat="1" ht="15.6" x14ac:dyDescent="0.3">
      <c r="A19" s="48" t="s">
        <v>93</v>
      </c>
      <c r="B19" s="62"/>
      <c r="C19" s="48"/>
      <c r="E19" s="5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c r="AH19" s="51"/>
      <c r="AI19" s="51"/>
      <c r="AJ19" s="50"/>
      <c r="AK19" s="50"/>
      <c r="AL19" s="50"/>
      <c r="AM19" s="50"/>
      <c r="AN19" s="50"/>
      <c r="AO19" s="50"/>
      <c r="AP19" s="50"/>
      <c r="AQ19" s="50"/>
      <c r="AR19" s="50"/>
      <c r="AS19" s="50"/>
    </row>
    <row r="20" spans="1:45" s="49" customFormat="1" x14ac:dyDescent="0.3">
      <c r="A20" s="55" t="s">
        <v>473</v>
      </c>
      <c r="B20" s="92"/>
      <c r="C20" s="139" t="s">
        <v>510</v>
      </c>
      <c r="E20" s="51"/>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c r="AH20" s="51"/>
      <c r="AI20" s="51"/>
      <c r="AJ20" s="50"/>
      <c r="AK20" s="50"/>
      <c r="AL20" s="50"/>
      <c r="AM20" s="50"/>
      <c r="AN20" s="50"/>
      <c r="AO20" s="50"/>
      <c r="AP20" s="50"/>
      <c r="AQ20" s="50"/>
      <c r="AR20" s="50"/>
      <c r="AS20" s="50"/>
    </row>
    <row r="21" spans="1:45" s="47" customFormat="1" x14ac:dyDescent="0.3">
      <c r="A21" s="63" t="s">
        <v>45</v>
      </c>
      <c r="B21" s="61"/>
      <c r="C21" s="61"/>
      <c r="E21" s="60"/>
      <c r="AB21" s="61"/>
      <c r="AC21" s="61"/>
      <c r="AD21" s="61"/>
      <c r="AE21" s="61"/>
      <c r="AF21" s="61"/>
      <c r="AG21" s="60"/>
      <c r="AH21" s="60" t="s">
        <v>183</v>
      </c>
      <c r="AI21" s="60" t="s">
        <v>184</v>
      </c>
      <c r="AJ21" s="61"/>
      <c r="AK21" s="61"/>
      <c r="AL21" s="61"/>
      <c r="AM21" s="61"/>
      <c r="AN21" s="61"/>
      <c r="AO21" s="61"/>
      <c r="AP21" s="61"/>
      <c r="AQ21" s="61"/>
      <c r="AR21" s="61"/>
      <c r="AS21" s="61"/>
    </row>
    <row r="22" spans="1:45" s="65" customFormat="1" ht="13.8" x14ac:dyDescent="0.3">
      <c r="A22" s="64"/>
      <c r="B22" s="64" t="s">
        <v>47</v>
      </c>
      <c r="C22" s="64" t="s">
        <v>48</v>
      </c>
      <c r="E22" s="490" t="s">
        <v>46</v>
      </c>
      <c r="F22" s="66" t="s">
        <v>110</v>
      </c>
      <c r="G22" s="67"/>
      <c r="H22" s="67"/>
      <c r="I22" s="67"/>
      <c r="J22" s="67"/>
      <c r="K22" s="68"/>
      <c r="L22" s="69" t="s">
        <v>133</v>
      </c>
      <c r="M22" s="67"/>
      <c r="N22" s="67"/>
      <c r="O22" s="67"/>
      <c r="P22" s="67"/>
      <c r="Q22" s="67"/>
      <c r="R22" s="67"/>
      <c r="S22" s="67"/>
      <c r="T22" s="67"/>
      <c r="U22" s="67"/>
      <c r="V22" s="67"/>
      <c r="W22" s="67"/>
      <c r="X22" s="67"/>
      <c r="Y22" s="67"/>
      <c r="Z22" s="67"/>
      <c r="AA22" s="67"/>
      <c r="AB22" s="67"/>
      <c r="AC22" s="67"/>
      <c r="AD22" s="67"/>
      <c r="AE22" s="67"/>
      <c r="AF22" s="67"/>
      <c r="AG22" s="70" t="s">
        <v>152</v>
      </c>
      <c r="AH22" s="70" t="s">
        <v>153</v>
      </c>
      <c r="AI22" s="70" t="s">
        <v>153</v>
      </c>
      <c r="AJ22" s="70"/>
      <c r="AK22" s="70"/>
      <c r="AL22" s="70"/>
      <c r="AM22" s="70"/>
      <c r="AN22" s="70"/>
      <c r="AO22" s="70"/>
      <c r="AP22" s="70"/>
      <c r="AQ22" s="70"/>
      <c r="AR22" s="70"/>
      <c r="AS22" s="70"/>
    </row>
    <row r="23" spans="1:45" s="47" customFormat="1" ht="13.8" x14ac:dyDescent="0.3">
      <c r="A23" s="582" t="s">
        <v>96</v>
      </c>
      <c r="B23" s="583"/>
      <c r="C23" s="584"/>
      <c r="E23" s="491" t="s">
        <v>87</v>
      </c>
      <c r="F23" s="71"/>
      <c r="G23" s="72"/>
      <c r="H23" s="72"/>
      <c r="I23" s="72"/>
      <c r="J23" s="72"/>
      <c r="K23" s="73"/>
      <c r="L23" s="72">
        <f>IF($C$16-1&gt;0,5,0)</f>
        <v>5</v>
      </c>
      <c r="M23" s="72">
        <f>IF(MAX($L$23:L23)&gt;=$C$16,0,L23+1)</f>
        <v>6</v>
      </c>
      <c r="N23" s="72">
        <f>IF(MAX($L$23:M23)&gt;=$C$16,0,M23+1)</f>
        <v>7</v>
      </c>
      <c r="O23" s="72">
        <f>IF(MAX($L$23:N23)&gt;=$C$16,0,N23+1)</f>
        <v>8</v>
      </c>
      <c r="P23" s="72">
        <f>IF(MAX($L$23:O23)&gt;=$C$16,0,O23+1)</f>
        <v>9</v>
      </c>
      <c r="Q23" s="72">
        <f>IF(MAX($L$23:P23)&gt;=$C$16,0,P23+1)</f>
        <v>10</v>
      </c>
      <c r="R23" s="72">
        <f>IF(MAX($L$23:Q23)&gt;=$C$16,0,Q23+1)</f>
        <v>11</v>
      </c>
      <c r="S23" s="72">
        <f>IF(MAX($L$23:R23)&gt;=$C$16,0,R23+1)</f>
        <v>12</v>
      </c>
      <c r="T23" s="72">
        <f>IF(MAX($L$23:S23)&gt;=$C$16,0,S23+1)</f>
        <v>13</v>
      </c>
      <c r="U23" s="72">
        <f>IF(MAX($L$23:T23)&gt;=$C$16,0,T23+1)</f>
        <v>14</v>
      </c>
      <c r="V23" s="72">
        <f>IF(MAX($L$23:U23)&gt;=$C$16,0,U23+1)</f>
        <v>15</v>
      </c>
      <c r="W23" s="72">
        <f>IF(MAX($L$23:V23)&gt;=$C$16,0,V23+1)</f>
        <v>16</v>
      </c>
      <c r="X23" s="72">
        <f>IF(MAX($L$23:W23)&gt;=$C$16,0,W23+1)</f>
        <v>17</v>
      </c>
      <c r="Y23" s="72">
        <f>IF(MAX($L$23:X23)&gt;=$C$16,0,X23+1)</f>
        <v>18</v>
      </c>
      <c r="Z23" s="72">
        <f>IF(MAX($L$23:Y23)&gt;=$C$16,0,Y23+1)</f>
        <v>19</v>
      </c>
      <c r="AA23" s="72">
        <f>IF(MAX($L$23:Z23)&gt;=$C$16,0,Z23+1)</f>
        <v>20</v>
      </c>
      <c r="AB23" s="72">
        <f>IF(MAX($L$23:AA23)&gt;=$C$16,0,AA23+1)</f>
        <v>21</v>
      </c>
      <c r="AC23" s="72">
        <f>IF(MAX($L$23:AB23)&gt;=$C$16,0,AB23+1)</f>
        <v>22</v>
      </c>
      <c r="AD23" s="72">
        <f>IF(MAX($L$23:AC23)&gt;=$C$16,0,AC23+1)</f>
        <v>23</v>
      </c>
      <c r="AE23" s="72">
        <f>IF(MAX($L$23:AD23)&gt;=$C$16,0,AD23+1)</f>
        <v>24</v>
      </c>
      <c r="AF23" s="72">
        <f>IF(MAX($L$23:AE23)&gt;=$C$16,0,AE23+1)</f>
        <v>25</v>
      </c>
      <c r="AG23" s="60"/>
      <c r="AH23" s="60"/>
      <c r="AI23" s="60"/>
      <c r="AJ23" s="61"/>
      <c r="AK23" s="61"/>
      <c r="AL23" s="61"/>
      <c r="AM23" s="61"/>
      <c r="AN23" s="61"/>
      <c r="AO23" s="61"/>
      <c r="AP23" s="61"/>
      <c r="AQ23" s="61"/>
      <c r="AR23" s="61"/>
      <c r="AS23" s="61"/>
    </row>
    <row r="24" spans="1:45" s="74" customFormat="1" ht="13.8" x14ac:dyDescent="0.3">
      <c r="A24" s="55" t="s">
        <v>28</v>
      </c>
      <c r="B24" s="189" t="str">
        <f>$C$20</f>
        <v>NGN</v>
      </c>
      <c r="C24" s="4"/>
      <c r="E24" s="139">
        <f>C16</f>
        <v>25</v>
      </c>
      <c r="F24" s="197" t="str">
        <f>IF($C$16&gt;COUNT($E24:E24)*$E24,COUNT($E24:E24)*$E24,"")</f>
        <v/>
      </c>
      <c r="G24" s="198" t="str">
        <f>IF($C$16&gt;COUNT($E24:F24)*$E24,COUNT($E24:F24)*$E24,"")</f>
        <v/>
      </c>
      <c r="H24" s="198" t="str">
        <f>IF($C$16&gt;COUNT($E24:G24)*$E24,COUNT($E24:G24)*$E24,"")</f>
        <v/>
      </c>
      <c r="I24" s="198" t="str">
        <f>IF($C$16&gt;COUNT($E24:H24)*$E24,COUNT($E24:H24)*$E24,"")</f>
        <v/>
      </c>
      <c r="J24" s="198" t="str">
        <f>IF($C$16&gt;COUNT($E24:I24)*$E24,COUNT($E24:I24)*$E24,"")</f>
        <v/>
      </c>
      <c r="K24" s="199" t="str">
        <f>IF($C$16&gt;COUNT($E24:J24)*$E24,COUNT($E24:J24)*$E24,"")</f>
        <v/>
      </c>
      <c r="L24" s="13" t="str">
        <f t="shared" ref="L24:U33" si="0">IF(L$23=0,"",IF($F24=L$23,$C24,IF($G24=L$23,$C24,IF($H24=L$23,$C24,IF($I24=L$23,$C24,IF($J24=L$23,$C24,IF($K24=L$23,$C24,"")))))))</f>
        <v/>
      </c>
      <c r="M24" s="13" t="str">
        <f t="shared" si="0"/>
        <v/>
      </c>
      <c r="N24" s="13" t="str">
        <f t="shared" si="0"/>
        <v/>
      </c>
      <c r="O24" s="13" t="str">
        <f t="shared" si="0"/>
        <v/>
      </c>
      <c r="P24" s="13" t="str">
        <f t="shared" si="0"/>
        <v/>
      </c>
      <c r="Q24" s="13" t="str">
        <f t="shared" si="0"/>
        <v/>
      </c>
      <c r="R24" s="13" t="str">
        <f t="shared" si="0"/>
        <v/>
      </c>
      <c r="S24" s="13" t="str">
        <f t="shared" si="0"/>
        <v/>
      </c>
      <c r="T24" s="13" t="str">
        <f t="shared" si="0"/>
        <v/>
      </c>
      <c r="U24" s="13" t="str">
        <f t="shared" si="0"/>
        <v/>
      </c>
      <c r="V24" s="13" t="str">
        <f t="shared" ref="V24:AF33" si="1">IF(V$23=0,"",IF($F24=V$23,$C24,IF($G24=V$23,$C24,IF($H24=V$23,$C24,IF($I24=V$23,$C24,IF($J24=V$23,$C24,IF($K24=V$23,$C24,"")))))))</f>
        <v/>
      </c>
      <c r="W24" s="13" t="str">
        <f t="shared" si="1"/>
        <v/>
      </c>
      <c r="X24" s="13" t="str">
        <f t="shared" si="1"/>
        <v/>
      </c>
      <c r="Y24" s="13" t="str">
        <f t="shared" si="1"/>
        <v/>
      </c>
      <c r="Z24" s="13" t="str">
        <f t="shared" si="1"/>
        <v/>
      </c>
      <c r="AA24" s="13" t="str">
        <f t="shared" si="1"/>
        <v/>
      </c>
      <c r="AB24" s="13" t="str">
        <f t="shared" si="1"/>
        <v/>
      </c>
      <c r="AC24" s="13" t="str">
        <f t="shared" si="1"/>
        <v/>
      </c>
      <c r="AD24" s="13" t="str">
        <f t="shared" si="1"/>
        <v/>
      </c>
      <c r="AE24" s="13" t="str">
        <f t="shared" si="1"/>
        <v/>
      </c>
      <c r="AF24" s="13" t="str">
        <f t="shared" si="1"/>
        <v/>
      </c>
      <c r="AG24" s="37">
        <f>IF(E24&gt;0,C24/E24*$C$16,C24)</f>
        <v>0</v>
      </c>
      <c r="AH24" s="37">
        <f t="shared" ref="AH24:AH55" si="2">IF(E24&gt;0,AG24/$C$16,"")</f>
        <v>0</v>
      </c>
      <c r="AI24" s="37" t="e">
        <f>IF(E24&gt;0,AG24/Calculations!$AB$10,"")</f>
        <v>#DIV/0!</v>
      </c>
      <c r="AJ24" s="75"/>
      <c r="AK24" s="75"/>
      <c r="AL24" s="75"/>
      <c r="AM24" s="75"/>
      <c r="AN24" s="75"/>
      <c r="AO24" s="75"/>
      <c r="AP24" s="75"/>
      <c r="AQ24" s="75"/>
      <c r="AR24" s="75"/>
      <c r="AS24" s="75"/>
    </row>
    <row r="25" spans="1:45" s="74" customFormat="1" ht="13.8" x14ac:dyDescent="0.3">
      <c r="A25" s="55" t="s">
        <v>44</v>
      </c>
      <c r="B25" s="196" t="str">
        <f>B24</f>
        <v>NGN</v>
      </c>
      <c r="C25" s="4"/>
      <c r="E25" s="139"/>
      <c r="F25" s="200"/>
      <c r="G25" s="13"/>
      <c r="H25" s="13"/>
      <c r="I25" s="13"/>
      <c r="J25" s="13"/>
      <c r="K25" s="199"/>
      <c r="L25" s="13" t="str">
        <f t="shared" si="0"/>
        <v/>
      </c>
      <c r="M25" s="13" t="str">
        <f t="shared" si="0"/>
        <v/>
      </c>
      <c r="N25" s="13" t="str">
        <f t="shared" si="0"/>
        <v/>
      </c>
      <c r="O25" s="13" t="str">
        <f t="shared" si="0"/>
        <v/>
      </c>
      <c r="P25" s="13" t="str">
        <f t="shared" si="0"/>
        <v/>
      </c>
      <c r="Q25" s="13" t="str">
        <f t="shared" si="0"/>
        <v/>
      </c>
      <c r="R25" s="13" t="str">
        <f t="shared" si="0"/>
        <v/>
      </c>
      <c r="S25" s="13" t="str">
        <f t="shared" si="0"/>
        <v/>
      </c>
      <c r="T25" s="13" t="str">
        <f t="shared" si="0"/>
        <v/>
      </c>
      <c r="U25" s="13" t="str">
        <f t="shared" si="0"/>
        <v/>
      </c>
      <c r="V25" s="13" t="str">
        <f t="shared" si="1"/>
        <v/>
      </c>
      <c r="W25" s="13" t="str">
        <f t="shared" si="1"/>
        <v/>
      </c>
      <c r="X25" s="13" t="str">
        <f t="shared" si="1"/>
        <v/>
      </c>
      <c r="Y25" s="13" t="str">
        <f t="shared" si="1"/>
        <v/>
      </c>
      <c r="Z25" s="13" t="str">
        <f t="shared" si="1"/>
        <v/>
      </c>
      <c r="AA25" s="13" t="str">
        <f t="shared" si="1"/>
        <v/>
      </c>
      <c r="AB25" s="13" t="str">
        <f t="shared" si="1"/>
        <v/>
      </c>
      <c r="AC25" s="13" t="str">
        <f t="shared" si="1"/>
        <v/>
      </c>
      <c r="AD25" s="13" t="str">
        <f t="shared" si="1"/>
        <v/>
      </c>
      <c r="AE25" s="13" t="str">
        <f t="shared" si="1"/>
        <v/>
      </c>
      <c r="AF25" s="13" t="str">
        <f t="shared" si="1"/>
        <v/>
      </c>
      <c r="AG25" s="37">
        <f t="shared" ref="AG25:AG88" si="3">IF(E25&gt;0,C25/E25*$C$16,C25)</f>
        <v>0</v>
      </c>
      <c r="AH25" s="37" t="str">
        <f t="shared" si="2"/>
        <v/>
      </c>
      <c r="AI25" s="37" t="str">
        <f>IF(E25&gt;0,AG25/Calculations!$AB$10,"")</f>
        <v/>
      </c>
      <c r="AJ25" s="75"/>
      <c r="AK25" s="75"/>
      <c r="AL25" s="75"/>
      <c r="AM25" s="75"/>
      <c r="AN25" s="75"/>
      <c r="AO25" s="75"/>
      <c r="AP25" s="75"/>
      <c r="AQ25" s="75"/>
      <c r="AR25" s="75"/>
      <c r="AS25" s="75"/>
    </row>
    <row r="26" spans="1:45" s="74" customFormat="1" ht="13.8" x14ac:dyDescent="0.3">
      <c r="A26" s="55" t="s">
        <v>73</v>
      </c>
      <c r="B26" s="196" t="str">
        <f>B25</f>
        <v>NGN</v>
      </c>
      <c r="C26" s="4"/>
      <c r="E26" s="139">
        <f>C16</f>
        <v>25</v>
      </c>
      <c r="F26" s="200" t="str">
        <f>IF($C$16&gt;COUNT($E26:E26)*$E26,COUNT($E26:E26)*$E26,"")</f>
        <v/>
      </c>
      <c r="G26" s="13" t="str">
        <f>IF($C$16&gt;COUNT($E26:F26)*$E26,COUNT($E26:F26)*$E26,"")</f>
        <v/>
      </c>
      <c r="H26" s="13" t="str">
        <f>IF($C$16&gt;COUNT($E26:G26)*$E26,COUNT($E26:G26)*$E26,"")</f>
        <v/>
      </c>
      <c r="I26" s="13" t="str">
        <f>IF($C$16&gt;COUNT($E26:H26)*$E26,COUNT($E26:H26)*$E26,"")</f>
        <v/>
      </c>
      <c r="J26" s="13" t="str">
        <f>IF($C$16&gt;COUNT($E26:I26)*$E26,COUNT($E26:I26)*$E26,"")</f>
        <v/>
      </c>
      <c r="K26" s="199" t="str">
        <f>IF($C$16&gt;COUNT($E26:J26)*$E26,COUNT($E26:J26)*$E26,"")</f>
        <v/>
      </c>
      <c r="L26" s="13" t="str">
        <f t="shared" si="0"/>
        <v/>
      </c>
      <c r="M26" s="13" t="str">
        <f t="shared" si="0"/>
        <v/>
      </c>
      <c r="N26" s="13" t="str">
        <f t="shared" si="0"/>
        <v/>
      </c>
      <c r="O26" s="13" t="str">
        <f t="shared" si="0"/>
        <v/>
      </c>
      <c r="P26" s="13" t="str">
        <f t="shared" si="0"/>
        <v/>
      </c>
      <c r="Q26" s="13" t="str">
        <f t="shared" si="0"/>
        <v/>
      </c>
      <c r="R26" s="13" t="str">
        <f t="shared" si="0"/>
        <v/>
      </c>
      <c r="S26" s="13" t="str">
        <f t="shared" si="0"/>
        <v/>
      </c>
      <c r="T26" s="13" t="str">
        <f t="shared" si="0"/>
        <v/>
      </c>
      <c r="U26" s="13" t="str">
        <f t="shared" si="0"/>
        <v/>
      </c>
      <c r="V26" s="13" t="str">
        <f t="shared" si="1"/>
        <v/>
      </c>
      <c r="W26" s="13" t="str">
        <f t="shared" si="1"/>
        <v/>
      </c>
      <c r="X26" s="13" t="str">
        <f t="shared" si="1"/>
        <v/>
      </c>
      <c r="Y26" s="13" t="str">
        <f t="shared" si="1"/>
        <v/>
      </c>
      <c r="Z26" s="13" t="str">
        <f t="shared" si="1"/>
        <v/>
      </c>
      <c r="AA26" s="13" t="str">
        <f t="shared" si="1"/>
        <v/>
      </c>
      <c r="AB26" s="13" t="str">
        <f t="shared" si="1"/>
        <v/>
      </c>
      <c r="AC26" s="13" t="str">
        <f t="shared" si="1"/>
        <v/>
      </c>
      <c r="AD26" s="13" t="str">
        <f t="shared" si="1"/>
        <v/>
      </c>
      <c r="AE26" s="13" t="str">
        <f t="shared" si="1"/>
        <v/>
      </c>
      <c r="AF26" s="13" t="str">
        <f t="shared" si="1"/>
        <v/>
      </c>
      <c r="AG26" s="37">
        <f t="shared" si="3"/>
        <v>0</v>
      </c>
      <c r="AH26" s="37">
        <f t="shared" si="2"/>
        <v>0</v>
      </c>
      <c r="AI26" s="37" t="e">
        <f>IF(E26&gt;0,AG26/Calculations!$AB$10,"")</f>
        <v>#DIV/0!</v>
      </c>
      <c r="AJ26" s="75"/>
      <c r="AK26" s="75"/>
      <c r="AL26" s="75"/>
      <c r="AM26" s="75"/>
      <c r="AN26" s="75"/>
      <c r="AO26" s="75"/>
      <c r="AP26" s="75"/>
      <c r="AQ26" s="75"/>
      <c r="AR26" s="75"/>
      <c r="AS26" s="75"/>
    </row>
    <row r="27" spans="1:45" s="74" customFormat="1" ht="13.8" x14ac:dyDescent="0.3">
      <c r="A27" s="55" t="s">
        <v>39</v>
      </c>
      <c r="B27" s="196" t="str">
        <f>B25</f>
        <v>NGN</v>
      </c>
      <c r="C27" s="4"/>
      <c r="E27" s="139">
        <f>C16</f>
        <v>25</v>
      </c>
      <c r="F27" s="200" t="str">
        <f>IF($C$16&gt;COUNT($E27:E27)*$E27,COUNT($E27:E27)*$E27,"")</f>
        <v/>
      </c>
      <c r="G27" s="13" t="str">
        <f>IF($C$16&gt;COUNT($E27:F27)*$E27,COUNT($E27:F27)*$E27,"")</f>
        <v/>
      </c>
      <c r="H27" s="13" t="str">
        <f>IF($C$16&gt;COUNT($E27:G27)*$E27,COUNT($E27:G27)*$E27,"")</f>
        <v/>
      </c>
      <c r="I27" s="13" t="str">
        <f>IF($C$16&gt;COUNT($E27:H27)*$E27,COUNT($E27:H27)*$E27,"")</f>
        <v/>
      </c>
      <c r="J27" s="13" t="str">
        <f>IF($C$16&gt;COUNT($E27:I27)*$E27,COUNT($E27:I27)*$E27,"")</f>
        <v/>
      </c>
      <c r="K27" s="199" t="str">
        <f>IF($C$16&gt;COUNT($E27:J27)*$E27,COUNT($E27:J27)*$E27,"")</f>
        <v/>
      </c>
      <c r="L27" s="13" t="str">
        <f t="shared" si="0"/>
        <v/>
      </c>
      <c r="M27" s="13" t="str">
        <f t="shared" si="0"/>
        <v/>
      </c>
      <c r="N27" s="13" t="str">
        <f t="shared" si="0"/>
        <v/>
      </c>
      <c r="O27" s="13" t="str">
        <f t="shared" si="0"/>
        <v/>
      </c>
      <c r="P27" s="13" t="str">
        <f t="shared" si="0"/>
        <v/>
      </c>
      <c r="Q27" s="13" t="str">
        <f t="shared" si="0"/>
        <v/>
      </c>
      <c r="R27" s="13" t="str">
        <f t="shared" si="0"/>
        <v/>
      </c>
      <c r="S27" s="13" t="str">
        <f t="shared" si="0"/>
        <v/>
      </c>
      <c r="T27" s="13" t="str">
        <f t="shared" si="0"/>
        <v/>
      </c>
      <c r="U27" s="13" t="str">
        <f t="shared" si="0"/>
        <v/>
      </c>
      <c r="V27" s="13" t="str">
        <f t="shared" si="1"/>
        <v/>
      </c>
      <c r="W27" s="13" t="str">
        <f t="shared" si="1"/>
        <v/>
      </c>
      <c r="X27" s="13" t="str">
        <f t="shared" si="1"/>
        <v/>
      </c>
      <c r="Y27" s="13" t="str">
        <f t="shared" si="1"/>
        <v/>
      </c>
      <c r="Z27" s="13" t="str">
        <f t="shared" si="1"/>
        <v/>
      </c>
      <c r="AA27" s="13" t="str">
        <f t="shared" si="1"/>
        <v/>
      </c>
      <c r="AB27" s="13" t="str">
        <f t="shared" si="1"/>
        <v/>
      </c>
      <c r="AC27" s="13" t="str">
        <f t="shared" si="1"/>
        <v/>
      </c>
      <c r="AD27" s="13" t="str">
        <f t="shared" si="1"/>
        <v/>
      </c>
      <c r="AE27" s="13" t="str">
        <f t="shared" si="1"/>
        <v/>
      </c>
      <c r="AF27" s="13" t="str">
        <f t="shared" si="1"/>
        <v/>
      </c>
      <c r="AG27" s="37">
        <f t="shared" si="3"/>
        <v>0</v>
      </c>
      <c r="AH27" s="37">
        <f t="shared" si="2"/>
        <v>0</v>
      </c>
      <c r="AI27" s="37" t="e">
        <f>IF(E27&gt;0,AG27/Calculations!$AB$10,"")</f>
        <v>#DIV/0!</v>
      </c>
      <c r="AJ27" s="75"/>
      <c r="AK27" s="75"/>
      <c r="AL27" s="75"/>
      <c r="AM27" s="75"/>
      <c r="AN27" s="75"/>
      <c r="AO27" s="75"/>
      <c r="AP27" s="75"/>
      <c r="AQ27" s="75"/>
      <c r="AR27" s="75"/>
      <c r="AS27" s="75"/>
    </row>
    <row r="28" spans="1:45" s="74" customFormat="1" ht="13.8" x14ac:dyDescent="0.3">
      <c r="A28" s="55" t="s">
        <v>50</v>
      </c>
      <c r="B28" s="196" t="str">
        <f>B25</f>
        <v>NGN</v>
      </c>
      <c r="C28" s="4"/>
      <c r="E28" s="139">
        <v>13</v>
      </c>
      <c r="F28" s="200">
        <f>IF($C$16&gt;COUNT($E28:E28)*$E28,COUNT($E28:E28)*$E28,"")</f>
        <v>13</v>
      </c>
      <c r="G28" s="13" t="str">
        <f>IF($C$16&gt;COUNT($E28:F28)*$E28,COUNT($E28:F28)*$E28,"")</f>
        <v/>
      </c>
      <c r="H28" s="13" t="str">
        <f>IF($C$16&gt;COUNT($E28:G28)*$E28,COUNT($E28:G28)*$E28,"")</f>
        <v/>
      </c>
      <c r="I28" s="13" t="str">
        <f>IF($C$16&gt;COUNT($E28:H28)*$E28,COUNT($E28:H28)*$E28,"")</f>
        <v/>
      </c>
      <c r="J28" s="13" t="str">
        <f>IF($C$16&gt;COUNT($E28:I28)*$E28,COUNT($E28:I28)*$E28,"")</f>
        <v/>
      </c>
      <c r="K28" s="199" t="str">
        <f>IF($C$16&gt;COUNT($E28:J28)*$E28,COUNT($E28:J28)*$E28,"")</f>
        <v/>
      </c>
      <c r="L28" s="13" t="str">
        <f t="shared" si="0"/>
        <v/>
      </c>
      <c r="M28" s="13" t="str">
        <f t="shared" si="0"/>
        <v/>
      </c>
      <c r="N28" s="13" t="str">
        <f t="shared" si="0"/>
        <v/>
      </c>
      <c r="O28" s="13" t="str">
        <f t="shared" si="0"/>
        <v/>
      </c>
      <c r="P28" s="13" t="str">
        <f t="shared" si="0"/>
        <v/>
      </c>
      <c r="Q28" s="13" t="str">
        <f t="shared" si="0"/>
        <v/>
      </c>
      <c r="R28" s="13" t="str">
        <f t="shared" si="0"/>
        <v/>
      </c>
      <c r="S28" s="13" t="str">
        <f t="shared" si="0"/>
        <v/>
      </c>
      <c r="T28" s="13">
        <f t="shared" si="0"/>
        <v>0</v>
      </c>
      <c r="U28" s="13" t="str">
        <f t="shared" si="0"/>
        <v/>
      </c>
      <c r="V28" s="13" t="str">
        <f t="shared" si="1"/>
        <v/>
      </c>
      <c r="W28" s="13" t="str">
        <f t="shared" si="1"/>
        <v/>
      </c>
      <c r="X28" s="13" t="str">
        <f t="shared" si="1"/>
        <v/>
      </c>
      <c r="Y28" s="13" t="str">
        <f t="shared" si="1"/>
        <v/>
      </c>
      <c r="Z28" s="13" t="str">
        <f t="shared" si="1"/>
        <v/>
      </c>
      <c r="AA28" s="13" t="str">
        <f t="shared" si="1"/>
        <v/>
      </c>
      <c r="AB28" s="13" t="str">
        <f t="shared" si="1"/>
        <v/>
      </c>
      <c r="AC28" s="13" t="str">
        <f t="shared" si="1"/>
        <v/>
      </c>
      <c r="AD28" s="13" t="str">
        <f t="shared" si="1"/>
        <v/>
      </c>
      <c r="AE28" s="13" t="str">
        <f t="shared" si="1"/>
        <v/>
      </c>
      <c r="AF28" s="13" t="str">
        <f t="shared" si="1"/>
        <v/>
      </c>
      <c r="AG28" s="37">
        <f t="shared" si="3"/>
        <v>0</v>
      </c>
      <c r="AH28" s="37">
        <f t="shared" si="2"/>
        <v>0</v>
      </c>
      <c r="AI28" s="37" t="e">
        <f>IF(E28&gt;0,AG28/Calculations!$AB$10,"")</f>
        <v>#DIV/0!</v>
      </c>
      <c r="AJ28" s="75"/>
      <c r="AK28" s="75"/>
      <c r="AL28" s="75"/>
      <c r="AM28" s="75"/>
      <c r="AN28" s="75"/>
      <c r="AO28" s="75"/>
      <c r="AP28" s="75"/>
      <c r="AQ28" s="75"/>
      <c r="AR28" s="75"/>
      <c r="AS28" s="75"/>
    </row>
    <row r="29" spans="1:45" s="74" customFormat="1" ht="13.8" x14ac:dyDescent="0.3">
      <c r="A29" s="55" t="s">
        <v>72</v>
      </c>
      <c r="B29" s="196" t="str">
        <f>B25</f>
        <v>NGN</v>
      </c>
      <c r="C29" s="4"/>
      <c r="E29" s="139">
        <v>13</v>
      </c>
      <c r="F29" s="200">
        <f>IF($C$16&gt;COUNT($E29:E29)*$E29,COUNT($E29:E29)*$E29,"")</f>
        <v>13</v>
      </c>
      <c r="G29" s="13" t="str">
        <f>IF($C$16&gt;COUNT($E29:F29)*$E29,COUNT($E29:F29)*$E29,"")</f>
        <v/>
      </c>
      <c r="H29" s="13" t="str">
        <f>IF($C$16&gt;COUNT($E29:G29)*$E29,COUNT($E29:G29)*$E29,"")</f>
        <v/>
      </c>
      <c r="I29" s="13" t="str">
        <f>IF($C$16&gt;COUNT($E29:H29)*$E29,COUNT($E29:H29)*$E29,"")</f>
        <v/>
      </c>
      <c r="J29" s="13" t="str">
        <f>IF($C$16&gt;COUNT($E29:I29)*$E29,COUNT($E29:I29)*$E29,"")</f>
        <v/>
      </c>
      <c r="K29" s="199" t="str">
        <f>IF($C$16&gt;COUNT($E29:J29)*$E29,COUNT($E29:J29)*$E29,"")</f>
        <v/>
      </c>
      <c r="L29" s="13" t="str">
        <f t="shared" si="0"/>
        <v/>
      </c>
      <c r="M29" s="13" t="str">
        <f t="shared" si="0"/>
        <v/>
      </c>
      <c r="N29" s="13" t="str">
        <f t="shared" si="0"/>
        <v/>
      </c>
      <c r="O29" s="13" t="str">
        <f t="shared" si="0"/>
        <v/>
      </c>
      <c r="P29" s="13" t="str">
        <f t="shared" si="0"/>
        <v/>
      </c>
      <c r="Q29" s="13" t="str">
        <f t="shared" si="0"/>
        <v/>
      </c>
      <c r="R29" s="13" t="str">
        <f t="shared" si="0"/>
        <v/>
      </c>
      <c r="S29" s="13" t="str">
        <f t="shared" si="0"/>
        <v/>
      </c>
      <c r="T29" s="13">
        <f t="shared" si="0"/>
        <v>0</v>
      </c>
      <c r="U29" s="13" t="str">
        <f t="shared" si="0"/>
        <v/>
      </c>
      <c r="V29" s="13" t="str">
        <f t="shared" si="1"/>
        <v/>
      </c>
      <c r="W29" s="13" t="str">
        <f t="shared" si="1"/>
        <v/>
      </c>
      <c r="X29" s="13" t="str">
        <f t="shared" si="1"/>
        <v/>
      </c>
      <c r="Y29" s="13" t="str">
        <f t="shared" si="1"/>
        <v/>
      </c>
      <c r="Z29" s="13" t="str">
        <f t="shared" si="1"/>
        <v/>
      </c>
      <c r="AA29" s="13" t="str">
        <f t="shared" si="1"/>
        <v/>
      </c>
      <c r="AB29" s="13" t="str">
        <f t="shared" si="1"/>
        <v/>
      </c>
      <c r="AC29" s="13" t="str">
        <f t="shared" si="1"/>
        <v/>
      </c>
      <c r="AD29" s="13" t="str">
        <f t="shared" si="1"/>
        <v/>
      </c>
      <c r="AE29" s="13" t="str">
        <f t="shared" si="1"/>
        <v/>
      </c>
      <c r="AF29" s="13" t="str">
        <f t="shared" si="1"/>
        <v/>
      </c>
      <c r="AG29" s="37">
        <f t="shared" si="3"/>
        <v>0</v>
      </c>
      <c r="AH29" s="37">
        <f t="shared" si="2"/>
        <v>0</v>
      </c>
      <c r="AI29" s="37" t="e">
        <f>IF(E29&gt;0,AG29/Calculations!$AB$10,"")</f>
        <v>#DIV/0!</v>
      </c>
      <c r="AJ29" s="75"/>
      <c r="AK29" s="75"/>
      <c r="AL29" s="75"/>
      <c r="AM29" s="75"/>
      <c r="AN29" s="75"/>
      <c r="AO29" s="75"/>
      <c r="AP29" s="75"/>
      <c r="AQ29" s="75"/>
      <c r="AR29" s="75"/>
      <c r="AS29" s="75"/>
    </row>
    <row r="30" spans="1:45" s="74" customFormat="1" ht="13.8" x14ac:dyDescent="0.3">
      <c r="A30" s="55" t="s">
        <v>13</v>
      </c>
      <c r="B30" s="196" t="str">
        <f>B25</f>
        <v>NGN</v>
      </c>
      <c r="C30" s="4"/>
      <c r="E30" s="139">
        <v>13</v>
      </c>
      <c r="F30" s="200">
        <f>IF($C$16&gt;COUNT($E30:E30)*$E30,COUNT($E30:E30)*$E30,"")</f>
        <v>13</v>
      </c>
      <c r="G30" s="13" t="str">
        <f>IF($C$16&gt;COUNT($E30:F30)*$E30,COUNT($E30:F30)*$E30,"")</f>
        <v/>
      </c>
      <c r="H30" s="13" t="str">
        <f>IF($C$16&gt;COUNT($E30:G30)*$E30,COUNT($E30:G30)*$E30,"")</f>
        <v/>
      </c>
      <c r="I30" s="13" t="str">
        <f>IF($C$16&gt;COUNT($E30:H30)*$E30,COUNT($E30:H30)*$E30,"")</f>
        <v/>
      </c>
      <c r="J30" s="13" t="str">
        <f>IF($C$16&gt;COUNT($E30:I30)*$E30,COUNT($E30:I30)*$E30,"")</f>
        <v/>
      </c>
      <c r="K30" s="199" t="str">
        <f>IF($C$16&gt;COUNT($E30:J30)*$E30,COUNT($E30:J30)*$E30,"")</f>
        <v/>
      </c>
      <c r="L30" s="13" t="str">
        <f t="shared" si="0"/>
        <v/>
      </c>
      <c r="M30" s="13" t="str">
        <f t="shared" si="0"/>
        <v/>
      </c>
      <c r="N30" s="13" t="str">
        <f t="shared" si="0"/>
        <v/>
      </c>
      <c r="O30" s="13" t="str">
        <f t="shared" si="0"/>
        <v/>
      </c>
      <c r="P30" s="13" t="str">
        <f t="shared" si="0"/>
        <v/>
      </c>
      <c r="Q30" s="13" t="str">
        <f t="shared" si="0"/>
        <v/>
      </c>
      <c r="R30" s="13" t="str">
        <f t="shared" si="0"/>
        <v/>
      </c>
      <c r="S30" s="13" t="str">
        <f t="shared" si="0"/>
        <v/>
      </c>
      <c r="T30" s="13">
        <f t="shared" si="0"/>
        <v>0</v>
      </c>
      <c r="U30" s="13" t="str">
        <f t="shared" si="0"/>
        <v/>
      </c>
      <c r="V30" s="13" t="str">
        <f t="shared" si="1"/>
        <v/>
      </c>
      <c r="W30" s="13" t="str">
        <f t="shared" si="1"/>
        <v/>
      </c>
      <c r="X30" s="13" t="str">
        <f t="shared" si="1"/>
        <v/>
      </c>
      <c r="Y30" s="13" t="str">
        <f t="shared" si="1"/>
        <v/>
      </c>
      <c r="Z30" s="13" t="str">
        <f t="shared" si="1"/>
        <v/>
      </c>
      <c r="AA30" s="13" t="str">
        <f t="shared" si="1"/>
        <v/>
      </c>
      <c r="AB30" s="13" t="str">
        <f t="shared" si="1"/>
        <v/>
      </c>
      <c r="AC30" s="13" t="str">
        <f t="shared" si="1"/>
        <v/>
      </c>
      <c r="AD30" s="13" t="str">
        <f t="shared" si="1"/>
        <v/>
      </c>
      <c r="AE30" s="13" t="str">
        <f t="shared" si="1"/>
        <v/>
      </c>
      <c r="AF30" s="13" t="str">
        <f t="shared" si="1"/>
        <v/>
      </c>
      <c r="AG30" s="37">
        <f t="shared" si="3"/>
        <v>0</v>
      </c>
      <c r="AH30" s="37">
        <f t="shared" si="2"/>
        <v>0</v>
      </c>
      <c r="AI30" s="37" t="e">
        <f>IF(E30&gt;0,AG30/Calculations!$AB$10,"")</f>
        <v>#DIV/0!</v>
      </c>
      <c r="AJ30" s="75"/>
      <c r="AK30" s="75"/>
      <c r="AL30" s="75"/>
      <c r="AM30" s="75"/>
      <c r="AN30" s="75"/>
      <c r="AO30" s="75"/>
      <c r="AP30" s="75"/>
      <c r="AQ30" s="75"/>
      <c r="AR30" s="75"/>
      <c r="AS30" s="75"/>
    </row>
    <row r="31" spans="1:45" s="74" customFormat="1" ht="13.8" x14ac:dyDescent="0.3">
      <c r="A31" s="55" t="s">
        <v>12</v>
      </c>
      <c r="B31" s="196" t="str">
        <f>B25</f>
        <v>NGN</v>
      </c>
      <c r="C31" s="4"/>
      <c r="E31" s="139">
        <f>C16</f>
        <v>25</v>
      </c>
      <c r="F31" s="200" t="str">
        <f>IF($C$16&gt;COUNT($E31:E31)*$E31,COUNT($E31:E31)*$E31,"")</f>
        <v/>
      </c>
      <c r="G31" s="13" t="str">
        <f>IF($C$16&gt;COUNT($E31:F31)*$E31,COUNT($E31:F31)*$E31,"")</f>
        <v/>
      </c>
      <c r="H31" s="13" t="str">
        <f>IF($C$16&gt;COUNT($E31:G31)*$E31,COUNT($E31:G31)*$E31,"")</f>
        <v/>
      </c>
      <c r="I31" s="13" t="str">
        <f>IF($C$16&gt;COUNT($E31:H31)*$E31,COUNT($E31:H31)*$E31,"")</f>
        <v/>
      </c>
      <c r="J31" s="13" t="str">
        <f>IF($C$16&gt;COUNT($E31:I31)*$E31,COUNT($E31:I31)*$E31,"")</f>
        <v/>
      </c>
      <c r="K31" s="199" t="str">
        <f>IF($C$16&gt;COUNT($E31:J31)*$E31,COUNT($E31:J31)*$E31,"")</f>
        <v/>
      </c>
      <c r="L31" s="13" t="str">
        <f t="shared" si="0"/>
        <v/>
      </c>
      <c r="M31" s="13" t="str">
        <f t="shared" si="0"/>
        <v/>
      </c>
      <c r="N31" s="13" t="str">
        <f t="shared" si="0"/>
        <v/>
      </c>
      <c r="O31" s="13" t="str">
        <f t="shared" si="0"/>
        <v/>
      </c>
      <c r="P31" s="13" t="str">
        <f t="shared" si="0"/>
        <v/>
      </c>
      <c r="Q31" s="13" t="str">
        <f t="shared" si="0"/>
        <v/>
      </c>
      <c r="R31" s="13" t="str">
        <f t="shared" si="0"/>
        <v/>
      </c>
      <c r="S31" s="13" t="str">
        <f t="shared" si="0"/>
        <v/>
      </c>
      <c r="T31" s="13" t="str">
        <f t="shared" si="0"/>
        <v/>
      </c>
      <c r="U31" s="13" t="str">
        <f t="shared" si="0"/>
        <v/>
      </c>
      <c r="V31" s="13" t="str">
        <f t="shared" si="1"/>
        <v/>
      </c>
      <c r="W31" s="13" t="str">
        <f t="shared" si="1"/>
        <v/>
      </c>
      <c r="X31" s="13" t="str">
        <f t="shared" si="1"/>
        <v/>
      </c>
      <c r="Y31" s="13" t="str">
        <f t="shared" si="1"/>
        <v/>
      </c>
      <c r="Z31" s="13" t="str">
        <f t="shared" si="1"/>
        <v/>
      </c>
      <c r="AA31" s="13" t="str">
        <f t="shared" si="1"/>
        <v/>
      </c>
      <c r="AB31" s="13" t="str">
        <f t="shared" si="1"/>
        <v/>
      </c>
      <c r="AC31" s="13" t="str">
        <f t="shared" si="1"/>
        <v/>
      </c>
      <c r="AD31" s="13" t="str">
        <f t="shared" si="1"/>
        <v/>
      </c>
      <c r="AE31" s="13" t="str">
        <f t="shared" si="1"/>
        <v/>
      </c>
      <c r="AF31" s="13" t="str">
        <f t="shared" si="1"/>
        <v/>
      </c>
      <c r="AG31" s="37">
        <f t="shared" si="3"/>
        <v>0</v>
      </c>
      <c r="AH31" s="37">
        <f t="shared" si="2"/>
        <v>0</v>
      </c>
      <c r="AI31" s="37" t="e">
        <f>IF(E31&gt;0,AG31/Calculations!$AB$10,"")</f>
        <v>#DIV/0!</v>
      </c>
      <c r="AJ31" s="75"/>
      <c r="AK31" s="75"/>
      <c r="AL31" s="75"/>
      <c r="AM31" s="75"/>
      <c r="AN31" s="75"/>
      <c r="AO31" s="75"/>
      <c r="AP31" s="75"/>
      <c r="AQ31" s="75"/>
      <c r="AR31" s="75"/>
      <c r="AS31" s="75"/>
    </row>
    <row r="32" spans="1:45" s="74" customFormat="1" ht="13.8" x14ac:dyDescent="0.3">
      <c r="A32" s="55" t="s">
        <v>14</v>
      </c>
      <c r="B32" s="196" t="str">
        <f>B25</f>
        <v>NGN</v>
      </c>
      <c r="C32" s="4"/>
      <c r="E32" s="139">
        <f>C16</f>
        <v>25</v>
      </c>
      <c r="F32" s="200" t="str">
        <f>IF($C$16&gt;COUNT($E32:E32)*$E32,COUNT($E32:E32)*$E32,"")</f>
        <v/>
      </c>
      <c r="G32" s="13" t="str">
        <f>IF($C$16&gt;COUNT($E32:F32)*$E32,COUNT($E32:F32)*$E32,"")</f>
        <v/>
      </c>
      <c r="H32" s="13" t="str">
        <f>IF($C$16&gt;COUNT($E32:G32)*$E32,COUNT($E32:G32)*$E32,"")</f>
        <v/>
      </c>
      <c r="I32" s="13" t="str">
        <f>IF($C$16&gt;COUNT($E32:H32)*$E32,COUNT($E32:H32)*$E32,"")</f>
        <v/>
      </c>
      <c r="J32" s="13" t="str">
        <f>IF($C$16&gt;COUNT($E32:I32)*$E32,COUNT($E32:I32)*$E32,"")</f>
        <v/>
      </c>
      <c r="K32" s="199" t="str">
        <f>IF($C$16&gt;COUNT($E32:J32)*$E32,COUNT($E32:J32)*$E32,"")</f>
        <v/>
      </c>
      <c r="L32" s="13" t="str">
        <f t="shared" si="0"/>
        <v/>
      </c>
      <c r="M32" s="13" t="str">
        <f t="shared" si="0"/>
        <v/>
      </c>
      <c r="N32" s="13" t="str">
        <f t="shared" si="0"/>
        <v/>
      </c>
      <c r="O32" s="13" t="str">
        <f t="shared" si="0"/>
        <v/>
      </c>
      <c r="P32" s="13" t="str">
        <f t="shared" si="0"/>
        <v/>
      </c>
      <c r="Q32" s="13" t="str">
        <f t="shared" si="0"/>
        <v/>
      </c>
      <c r="R32" s="13" t="str">
        <f t="shared" si="0"/>
        <v/>
      </c>
      <c r="S32" s="13" t="str">
        <f t="shared" si="0"/>
        <v/>
      </c>
      <c r="T32" s="13" t="str">
        <f t="shared" si="0"/>
        <v/>
      </c>
      <c r="U32" s="13" t="str">
        <f t="shared" si="0"/>
        <v/>
      </c>
      <c r="V32" s="13" t="str">
        <f t="shared" si="1"/>
        <v/>
      </c>
      <c r="W32" s="13" t="str">
        <f t="shared" si="1"/>
        <v/>
      </c>
      <c r="X32" s="13" t="str">
        <f t="shared" si="1"/>
        <v/>
      </c>
      <c r="Y32" s="13" t="str">
        <f t="shared" si="1"/>
        <v/>
      </c>
      <c r="Z32" s="13" t="str">
        <f t="shared" si="1"/>
        <v/>
      </c>
      <c r="AA32" s="13" t="str">
        <f t="shared" si="1"/>
        <v/>
      </c>
      <c r="AB32" s="13" t="str">
        <f t="shared" si="1"/>
        <v/>
      </c>
      <c r="AC32" s="13" t="str">
        <f t="shared" si="1"/>
        <v/>
      </c>
      <c r="AD32" s="13" t="str">
        <f t="shared" si="1"/>
        <v/>
      </c>
      <c r="AE32" s="13" t="str">
        <f t="shared" si="1"/>
        <v/>
      </c>
      <c r="AF32" s="13" t="str">
        <f t="shared" si="1"/>
        <v/>
      </c>
      <c r="AG32" s="37">
        <f t="shared" si="3"/>
        <v>0</v>
      </c>
      <c r="AH32" s="37">
        <f t="shared" si="2"/>
        <v>0</v>
      </c>
      <c r="AI32" s="37" t="e">
        <f>IF(E32&gt;0,AG32/Calculations!$AB$10,"")</f>
        <v>#DIV/0!</v>
      </c>
      <c r="AJ32" s="75"/>
      <c r="AK32" s="75"/>
      <c r="AL32" s="75"/>
      <c r="AM32" s="75"/>
      <c r="AN32" s="75"/>
      <c r="AO32" s="75"/>
      <c r="AP32" s="75"/>
      <c r="AQ32" s="75"/>
      <c r="AR32" s="75"/>
      <c r="AS32" s="75"/>
    </row>
    <row r="33" spans="1:45" s="74" customFormat="1" ht="13.8" x14ac:dyDescent="0.3">
      <c r="A33" s="55" t="s">
        <v>35</v>
      </c>
      <c r="B33" s="196" t="str">
        <f>B25</f>
        <v>NGN</v>
      </c>
      <c r="C33" s="4"/>
      <c r="E33" s="139">
        <f>C16</f>
        <v>25</v>
      </c>
      <c r="F33" s="200" t="str">
        <f>IF($C$16&gt;COUNT($E33:E33)*$E33,COUNT($E33:E33)*$E33,"")</f>
        <v/>
      </c>
      <c r="G33" s="13" t="str">
        <f>IF($C$16&gt;COUNT($E33:F33)*$E33,COUNT($E33:F33)*$E33,"")</f>
        <v/>
      </c>
      <c r="H33" s="13" t="str">
        <f>IF($C$16&gt;COUNT($E33:G33)*$E33,COUNT($E33:G33)*$E33,"")</f>
        <v/>
      </c>
      <c r="I33" s="13" t="str">
        <f>IF($C$16&gt;COUNT($E33:H33)*$E33,COUNT($E33:H33)*$E33,"")</f>
        <v/>
      </c>
      <c r="J33" s="13" t="str">
        <f>IF($C$16&gt;COUNT($E33:I33)*$E33,COUNT($E33:I33)*$E33,"")</f>
        <v/>
      </c>
      <c r="K33" s="199" t="str">
        <f>IF($C$16&gt;COUNT($E33:J33)*$E33,COUNT($E33:J33)*$E33,"")</f>
        <v/>
      </c>
      <c r="L33" s="13" t="str">
        <f t="shared" si="0"/>
        <v/>
      </c>
      <c r="M33" s="13" t="str">
        <f t="shared" si="0"/>
        <v/>
      </c>
      <c r="N33" s="13" t="str">
        <f t="shared" si="0"/>
        <v/>
      </c>
      <c r="O33" s="13" t="str">
        <f t="shared" si="0"/>
        <v/>
      </c>
      <c r="P33" s="13" t="str">
        <f t="shared" si="0"/>
        <v/>
      </c>
      <c r="Q33" s="13" t="str">
        <f t="shared" si="0"/>
        <v/>
      </c>
      <c r="R33" s="13" t="str">
        <f t="shared" si="0"/>
        <v/>
      </c>
      <c r="S33" s="13" t="str">
        <f t="shared" si="0"/>
        <v/>
      </c>
      <c r="T33" s="13" t="str">
        <f t="shared" si="0"/>
        <v/>
      </c>
      <c r="U33" s="13" t="str">
        <f t="shared" si="0"/>
        <v/>
      </c>
      <c r="V33" s="13" t="str">
        <f t="shared" si="1"/>
        <v/>
      </c>
      <c r="W33" s="13" t="str">
        <f t="shared" si="1"/>
        <v/>
      </c>
      <c r="X33" s="13" t="str">
        <f t="shared" si="1"/>
        <v/>
      </c>
      <c r="Y33" s="13" t="str">
        <f t="shared" si="1"/>
        <v/>
      </c>
      <c r="Z33" s="13" t="str">
        <f t="shared" si="1"/>
        <v/>
      </c>
      <c r="AA33" s="13" t="str">
        <f t="shared" si="1"/>
        <v/>
      </c>
      <c r="AB33" s="13" t="str">
        <f t="shared" si="1"/>
        <v/>
      </c>
      <c r="AC33" s="13" t="str">
        <f t="shared" si="1"/>
        <v/>
      </c>
      <c r="AD33" s="13" t="str">
        <f t="shared" si="1"/>
        <v/>
      </c>
      <c r="AE33" s="13" t="str">
        <f t="shared" si="1"/>
        <v/>
      </c>
      <c r="AF33" s="13" t="str">
        <f t="shared" si="1"/>
        <v/>
      </c>
      <c r="AG33" s="37">
        <f t="shared" si="3"/>
        <v>0</v>
      </c>
      <c r="AH33" s="37">
        <f t="shared" si="2"/>
        <v>0</v>
      </c>
      <c r="AI33" s="37" t="e">
        <f>IF(E33&gt;0,AG33/Calculations!$AB$10,"")</f>
        <v>#DIV/0!</v>
      </c>
      <c r="AJ33" s="75"/>
      <c r="AK33" s="75"/>
      <c r="AL33" s="75"/>
      <c r="AM33" s="75"/>
      <c r="AN33" s="75"/>
      <c r="AO33" s="75"/>
      <c r="AP33" s="75"/>
      <c r="AQ33" s="75"/>
      <c r="AR33" s="75"/>
      <c r="AS33" s="75"/>
    </row>
    <row r="34" spans="1:45" s="74" customFormat="1" ht="13.8" x14ac:dyDescent="0.3">
      <c r="A34" s="55" t="s">
        <v>10</v>
      </c>
      <c r="B34" s="196" t="str">
        <f>B25</f>
        <v>NGN</v>
      </c>
      <c r="C34" s="4"/>
      <c r="E34" s="139">
        <f>C16</f>
        <v>25</v>
      </c>
      <c r="F34" s="200" t="str">
        <f>IF($C$16&gt;COUNT($E34:E34)*$E34,COUNT($E34:E34)*$E34,"")</f>
        <v/>
      </c>
      <c r="G34" s="13" t="str">
        <f>IF($C$16&gt;COUNT($E34:F34)*$E34,COUNT($E34:F34)*$E34,"")</f>
        <v/>
      </c>
      <c r="H34" s="13" t="str">
        <f>IF($C$16&gt;COUNT($E34:G34)*$E34,COUNT($E34:G34)*$E34,"")</f>
        <v/>
      </c>
      <c r="I34" s="13" t="str">
        <f>IF($C$16&gt;COUNT($E34:H34)*$E34,COUNT($E34:H34)*$E34,"")</f>
        <v/>
      </c>
      <c r="J34" s="13" t="str">
        <f>IF($C$16&gt;COUNT($E34:I34)*$E34,COUNT($E34:I34)*$E34,"")</f>
        <v/>
      </c>
      <c r="K34" s="199" t="str">
        <f>IF($C$16&gt;COUNT($E34:J34)*$E34,COUNT($E34:J34)*$E34,"")</f>
        <v/>
      </c>
      <c r="L34" s="13" t="str">
        <f t="shared" ref="L34:U43" si="4">IF(L$23=0,"",IF($F34=L$23,$C34,IF($G34=L$23,$C34,IF($H34=L$23,$C34,IF($I34=L$23,$C34,IF($J34=L$23,$C34,IF($K34=L$23,$C34,"")))))))</f>
        <v/>
      </c>
      <c r="M34" s="13" t="str">
        <f t="shared" si="4"/>
        <v/>
      </c>
      <c r="N34" s="13" t="str">
        <f t="shared" si="4"/>
        <v/>
      </c>
      <c r="O34" s="13" t="str">
        <f t="shared" si="4"/>
        <v/>
      </c>
      <c r="P34" s="13" t="str">
        <f t="shared" si="4"/>
        <v/>
      </c>
      <c r="Q34" s="13" t="str">
        <f t="shared" si="4"/>
        <v/>
      </c>
      <c r="R34" s="13" t="str">
        <f t="shared" si="4"/>
        <v/>
      </c>
      <c r="S34" s="13" t="str">
        <f t="shared" si="4"/>
        <v/>
      </c>
      <c r="T34" s="13" t="str">
        <f t="shared" si="4"/>
        <v/>
      </c>
      <c r="U34" s="13" t="str">
        <f t="shared" si="4"/>
        <v/>
      </c>
      <c r="V34" s="13" t="str">
        <f t="shared" ref="V34:AF43" si="5">IF(V$23=0,"",IF($F34=V$23,$C34,IF($G34=V$23,$C34,IF($H34=V$23,$C34,IF($I34=V$23,$C34,IF($J34=V$23,$C34,IF($K34=V$23,$C34,"")))))))</f>
        <v/>
      </c>
      <c r="W34" s="13" t="str">
        <f t="shared" si="5"/>
        <v/>
      </c>
      <c r="X34" s="13" t="str">
        <f t="shared" si="5"/>
        <v/>
      </c>
      <c r="Y34" s="13" t="str">
        <f t="shared" si="5"/>
        <v/>
      </c>
      <c r="Z34" s="13" t="str">
        <f t="shared" si="5"/>
        <v/>
      </c>
      <c r="AA34" s="13" t="str">
        <f t="shared" si="5"/>
        <v/>
      </c>
      <c r="AB34" s="13" t="str">
        <f t="shared" si="5"/>
        <v/>
      </c>
      <c r="AC34" s="13" t="str">
        <f t="shared" si="5"/>
        <v/>
      </c>
      <c r="AD34" s="13" t="str">
        <f t="shared" si="5"/>
        <v/>
      </c>
      <c r="AE34" s="13" t="str">
        <f t="shared" si="5"/>
        <v/>
      </c>
      <c r="AF34" s="13" t="str">
        <f t="shared" si="5"/>
        <v/>
      </c>
      <c r="AG34" s="37">
        <f>IF(E34&gt;0,C34/E34*$C$16,C34)</f>
        <v>0</v>
      </c>
      <c r="AH34" s="37">
        <f t="shared" si="2"/>
        <v>0</v>
      </c>
      <c r="AI34" s="37" t="e">
        <f>IF(E34&gt;0,AG34/Calculations!$AB$10,"")</f>
        <v>#DIV/0!</v>
      </c>
      <c r="AJ34" s="75"/>
      <c r="AK34" s="75"/>
      <c r="AL34" s="75"/>
      <c r="AM34" s="75"/>
      <c r="AN34" s="75"/>
      <c r="AO34" s="75"/>
      <c r="AP34" s="75"/>
      <c r="AQ34" s="75"/>
      <c r="AR34" s="75"/>
      <c r="AS34" s="75"/>
    </row>
    <row r="35" spans="1:45" s="74" customFormat="1" ht="13.8" x14ac:dyDescent="0.3">
      <c r="A35" s="55" t="s">
        <v>233</v>
      </c>
      <c r="B35" s="196" t="str">
        <f>B25</f>
        <v>NGN</v>
      </c>
      <c r="C35" s="4"/>
      <c r="E35" s="139">
        <f>C16</f>
        <v>25</v>
      </c>
      <c r="F35" s="200" t="str">
        <f>IF($C$16&gt;COUNT($E35:E35)*$E35,COUNT($E35:E35)*$E35,"")</f>
        <v/>
      </c>
      <c r="G35" s="13" t="str">
        <f>IF($C$16&gt;COUNT($E35:F35)*$E35,COUNT($E35:F35)*$E35,"")</f>
        <v/>
      </c>
      <c r="H35" s="13" t="str">
        <f>IF($C$16&gt;COUNT($E35:G35)*$E35,COUNT($E35:G35)*$E35,"")</f>
        <v/>
      </c>
      <c r="I35" s="13" t="str">
        <f>IF($C$16&gt;COUNT($E35:H35)*$E35,COUNT($E35:H35)*$E35,"")</f>
        <v/>
      </c>
      <c r="J35" s="13" t="str">
        <f>IF($C$16&gt;COUNT($E35:I35)*$E35,COUNT($E35:I35)*$E35,"")</f>
        <v/>
      </c>
      <c r="K35" s="199" t="str">
        <f>IF($C$16&gt;COUNT($E35:J35)*$E35,COUNT($E35:J35)*$E35,"")</f>
        <v/>
      </c>
      <c r="L35" s="13" t="str">
        <f t="shared" si="4"/>
        <v/>
      </c>
      <c r="M35" s="13" t="str">
        <f t="shared" si="4"/>
        <v/>
      </c>
      <c r="N35" s="13" t="str">
        <f t="shared" si="4"/>
        <v/>
      </c>
      <c r="O35" s="13" t="str">
        <f t="shared" si="4"/>
        <v/>
      </c>
      <c r="P35" s="13" t="str">
        <f t="shared" si="4"/>
        <v/>
      </c>
      <c r="Q35" s="13" t="str">
        <f t="shared" si="4"/>
        <v/>
      </c>
      <c r="R35" s="13" t="str">
        <f t="shared" si="4"/>
        <v/>
      </c>
      <c r="S35" s="13" t="str">
        <f t="shared" si="4"/>
        <v/>
      </c>
      <c r="T35" s="13" t="str">
        <f t="shared" si="4"/>
        <v/>
      </c>
      <c r="U35" s="13" t="str">
        <f t="shared" si="4"/>
        <v/>
      </c>
      <c r="V35" s="13" t="str">
        <f t="shared" si="5"/>
        <v/>
      </c>
      <c r="W35" s="13" t="str">
        <f t="shared" si="5"/>
        <v/>
      </c>
      <c r="X35" s="13" t="str">
        <f t="shared" si="5"/>
        <v/>
      </c>
      <c r="Y35" s="13" t="str">
        <f t="shared" si="5"/>
        <v/>
      </c>
      <c r="Z35" s="13" t="str">
        <f t="shared" si="5"/>
        <v/>
      </c>
      <c r="AA35" s="13" t="str">
        <f t="shared" si="5"/>
        <v/>
      </c>
      <c r="AB35" s="13" t="str">
        <f t="shared" si="5"/>
        <v/>
      </c>
      <c r="AC35" s="13" t="str">
        <f t="shared" si="5"/>
        <v/>
      </c>
      <c r="AD35" s="13" t="str">
        <f t="shared" si="5"/>
        <v/>
      </c>
      <c r="AE35" s="13" t="str">
        <f t="shared" si="5"/>
        <v/>
      </c>
      <c r="AF35" s="13" t="str">
        <f t="shared" si="5"/>
        <v/>
      </c>
      <c r="AG35" s="37">
        <f t="shared" si="3"/>
        <v>0</v>
      </c>
      <c r="AH35" s="37">
        <f t="shared" si="2"/>
        <v>0</v>
      </c>
      <c r="AI35" s="37" t="e">
        <f>IF(E35&gt;0,AG35/Calculations!$AB$10,"")</f>
        <v>#DIV/0!</v>
      </c>
      <c r="AJ35" s="75"/>
      <c r="AK35" s="75"/>
      <c r="AL35" s="75"/>
      <c r="AM35" s="75"/>
      <c r="AN35" s="75"/>
      <c r="AO35" s="75"/>
      <c r="AP35" s="75"/>
      <c r="AQ35" s="75"/>
      <c r="AR35" s="75"/>
      <c r="AS35" s="75"/>
    </row>
    <row r="36" spans="1:45" s="74" customFormat="1" ht="13.8" x14ac:dyDescent="0.3">
      <c r="A36" s="55" t="s">
        <v>234</v>
      </c>
      <c r="B36" s="196" t="str">
        <f>B26</f>
        <v>NGN</v>
      </c>
      <c r="C36" s="4"/>
      <c r="E36" s="139">
        <f>C16</f>
        <v>25</v>
      </c>
      <c r="F36" s="200" t="str">
        <f>IF($C$16&gt;COUNT($E36:E36)*$E36,COUNT($E36:E36)*$E36,"")</f>
        <v/>
      </c>
      <c r="G36" s="13" t="str">
        <f>IF($C$16&gt;COUNT($E36:F36)*$E36,COUNT($E36:F36)*$E36,"")</f>
        <v/>
      </c>
      <c r="H36" s="13" t="str">
        <f>IF($C$16&gt;COUNT($E36:G36)*$E36,COUNT($E36:G36)*$E36,"")</f>
        <v/>
      </c>
      <c r="I36" s="13" t="str">
        <f>IF($C$16&gt;COUNT($E36:H36)*$E36,COUNT($E36:H36)*$E36,"")</f>
        <v/>
      </c>
      <c r="J36" s="13" t="str">
        <f>IF($C$16&gt;COUNT($E36:I36)*$E36,COUNT($E36:I36)*$E36,"")</f>
        <v/>
      </c>
      <c r="K36" s="199" t="str">
        <f>IF($C$16&gt;COUNT($E36:J36)*$E36,COUNT($E36:J36)*$E36,"")</f>
        <v/>
      </c>
      <c r="L36" s="13" t="str">
        <f t="shared" si="4"/>
        <v/>
      </c>
      <c r="M36" s="13" t="str">
        <f t="shared" si="4"/>
        <v/>
      </c>
      <c r="N36" s="13" t="str">
        <f t="shared" si="4"/>
        <v/>
      </c>
      <c r="O36" s="13" t="str">
        <f t="shared" si="4"/>
        <v/>
      </c>
      <c r="P36" s="13" t="str">
        <f t="shared" si="4"/>
        <v/>
      </c>
      <c r="Q36" s="13" t="str">
        <f t="shared" si="4"/>
        <v/>
      </c>
      <c r="R36" s="13" t="str">
        <f t="shared" si="4"/>
        <v/>
      </c>
      <c r="S36" s="13" t="str">
        <f t="shared" si="4"/>
        <v/>
      </c>
      <c r="T36" s="13" t="str">
        <f t="shared" si="4"/>
        <v/>
      </c>
      <c r="U36" s="13" t="str">
        <f t="shared" si="4"/>
        <v/>
      </c>
      <c r="V36" s="13" t="str">
        <f t="shared" si="5"/>
        <v/>
      </c>
      <c r="W36" s="13" t="str">
        <f t="shared" si="5"/>
        <v/>
      </c>
      <c r="X36" s="13" t="str">
        <f t="shared" si="5"/>
        <v/>
      </c>
      <c r="Y36" s="13" t="str">
        <f t="shared" si="5"/>
        <v/>
      </c>
      <c r="Z36" s="13" t="str">
        <f t="shared" si="5"/>
        <v/>
      </c>
      <c r="AA36" s="13" t="str">
        <f t="shared" si="5"/>
        <v/>
      </c>
      <c r="AB36" s="13" t="str">
        <f t="shared" si="5"/>
        <v/>
      </c>
      <c r="AC36" s="13" t="str">
        <f t="shared" si="5"/>
        <v/>
      </c>
      <c r="AD36" s="13" t="str">
        <f t="shared" si="5"/>
        <v/>
      </c>
      <c r="AE36" s="13" t="str">
        <f t="shared" si="5"/>
        <v/>
      </c>
      <c r="AF36" s="13" t="str">
        <f t="shared" si="5"/>
        <v/>
      </c>
      <c r="AG36" s="37">
        <f t="shared" si="3"/>
        <v>0</v>
      </c>
      <c r="AH36" s="37">
        <f t="shared" si="2"/>
        <v>0</v>
      </c>
      <c r="AI36" s="37" t="e">
        <f>IF(E36&gt;0,AG36/Calculations!$AB$10,"")</f>
        <v>#DIV/0!</v>
      </c>
      <c r="AJ36" s="75"/>
      <c r="AK36" s="75"/>
      <c r="AL36" s="75"/>
      <c r="AM36" s="75"/>
      <c r="AN36" s="75"/>
      <c r="AO36" s="75"/>
      <c r="AP36" s="75"/>
      <c r="AQ36" s="75"/>
      <c r="AR36" s="75"/>
      <c r="AS36" s="75"/>
    </row>
    <row r="37" spans="1:45" s="74" customFormat="1" ht="13.8" x14ac:dyDescent="0.3">
      <c r="A37" s="55" t="s">
        <v>40</v>
      </c>
      <c r="B37" s="196" t="str">
        <f>B25</f>
        <v>NGN</v>
      </c>
      <c r="C37" s="4"/>
      <c r="E37" s="139">
        <f>C16</f>
        <v>25</v>
      </c>
      <c r="F37" s="200" t="str">
        <f>IF($C$16&gt;COUNT($E37:E37)*$E37,COUNT($E37:E37)*$E37,"")</f>
        <v/>
      </c>
      <c r="G37" s="13" t="str">
        <f>IF($C$16&gt;COUNT($E37:F37)*$E37,COUNT($E37:F37)*$E37,"")</f>
        <v/>
      </c>
      <c r="H37" s="13" t="str">
        <f>IF($C$16&gt;COUNT($E37:G37)*$E37,COUNT($E37:G37)*$E37,"")</f>
        <v/>
      </c>
      <c r="I37" s="13" t="str">
        <f>IF($C$16&gt;COUNT($E37:H37)*$E37,COUNT($E37:H37)*$E37,"")</f>
        <v/>
      </c>
      <c r="J37" s="13" t="str">
        <f>IF($C$16&gt;COUNT($E37:I37)*$E37,COUNT($E37:I37)*$E37,"")</f>
        <v/>
      </c>
      <c r="K37" s="199" t="str">
        <f>IF($C$16&gt;COUNT($E37:J37)*$E37,COUNT($E37:J37)*$E37,"")</f>
        <v/>
      </c>
      <c r="L37" s="13" t="str">
        <f t="shared" si="4"/>
        <v/>
      </c>
      <c r="M37" s="13" t="str">
        <f t="shared" si="4"/>
        <v/>
      </c>
      <c r="N37" s="13" t="str">
        <f t="shared" si="4"/>
        <v/>
      </c>
      <c r="O37" s="13" t="str">
        <f t="shared" si="4"/>
        <v/>
      </c>
      <c r="P37" s="13" t="str">
        <f t="shared" si="4"/>
        <v/>
      </c>
      <c r="Q37" s="13" t="str">
        <f t="shared" si="4"/>
        <v/>
      </c>
      <c r="R37" s="13" t="str">
        <f t="shared" si="4"/>
        <v/>
      </c>
      <c r="S37" s="13" t="str">
        <f t="shared" si="4"/>
        <v/>
      </c>
      <c r="T37" s="13" t="str">
        <f t="shared" si="4"/>
        <v/>
      </c>
      <c r="U37" s="13" t="str">
        <f t="shared" si="4"/>
        <v/>
      </c>
      <c r="V37" s="13" t="str">
        <f t="shared" si="5"/>
        <v/>
      </c>
      <c r="W37" s="13" t="str">
        <f t="shared" si="5"/>
        <v/>
      </c>
      <c r="X37" s="13" t="str">
        <f t="shared" si="5"/>
        <v/>
      </c>
      <c r="Y37" s="13" t="str">
        <f t="shared" si="5"/>
        <v/>
      </c>
      <c r="Z37" s="13" t="str">
        <f t="shared" si="5"/>
        <v/>
      </c>
      <c r="AA37" s="13" t="str">
        <f t="shared" si="5"/>
        <v/>
      </c>
      <c r="AB37" s="13" t="str">
        <f t="shared" si="5"/>
        <v/>
      </c>
      <c r="AC37" s="13" t="str">
        <f t="shared" si="5"/>
        <v/>
      </c>
      <c r="AD37" s="13" t="str">
        <f t="shared" si="5"/>
        <v/>
      </c>
      <c r="AE37" s="13" t="str">
        <f t="shared" si="5"/>
        <v/>
      </c>
      <c r="AF37" s="13" t="str">
        <f t="shared" si="5"/>
        <v/>
      </c>
      <c r="AG37" s="37">
        <f t="shared" si="3"/>
        <v>0</v>
      </c>
      <c r="AH37" s="37">
        <f t="shared" si="2"/>
        <v>0</v>
      </c>
      <c r="AI37" s="37" t="e">
        <f>IF(E37&gt;0,AG37/Calculations!$AB$10,"")</f>
        <v>#DIV/0!</v>
      </c>
      <c r="AJ37" s="75"/>
      <c r="AK37" s="75"/>
      <c r="AL37" s="75"/>
      <c r="AM37" s="75"/>
      <c r="AN37" s="75"/>
      <c r="AO37" s="75"/>
      <c r="AP37" s="75"/>
      <c r="AQ37" s="75"/>
      <c r="AR37" s="75"/>
      <c r="AS37" s="75"/>
    </row>
    <row r="38" spans="1:45" s="74" customFormat="1" ht="13.8" x14ac:dyDescent="0.3">
      <c r="A38" s="55" t="s">
        <v>475</v>
      </c>
      <c r="B38" s="196" t="str">
        <f>B25</f>
        <v>NGN</v>
      </c>
      <c r="C38" s="4"/>
      <c r="E38" s="139">
        <f>C16</f>
        <v>25</v>
      </c>
      <c r="F38" s="200" t="str">
        <f>IF($C$16&gt;COUNT($E38:E38)*$E38,COUNT($E38:E38)*$E38,"")</f>
        <v/>
      </c>
      <c r="G38" s="13" t="str">
        <f>IF($C$16&gt;COUNT($E38:F38)*$E38,COUNT($E38:F38)*$E38,"")</f>
        <v/>
      </c>
      <c r="H38" s="13" t="str">
        <f>IF($C$16&gt;COUNT($E38:G38)*$E38,COUNT($E38:G38)*$E38,"")</f>
        <v/>
      </c>
      <c r="I38" s="13" t="str">
        <f>IF($C$16&gt;COUNT($E38:H38)*$E38,COUNT($E38:H38)*$E38,"")</f>
        <v/>
      </c>
      <c r="J38" s="13" t="str">
        <f>IF($C$16&gt;COUNT($E38:I38)*$E38,COUNT($E38:I38)*$E38,"")</f>
        <v/>
      </c>
      <c r="K38" s="199" t="str">
        <f>IF($C$16&gt;COUNT($E38:J38)*$E38,COUNT($E38:J38)*$E38,"")</f>
        <v/>
      </c>
      <c r="L38" s="13" t="str">
        <f t="shared" si="4"/>
        <v/>
      </c>
      <c r="M38" s="13" t="str">
        <f t="shared" si="4"/>
        <v/>
      </c>
      <c r="N38" s="13" t="str">
        <f t="shared" si="4"/>
        <v/>
      </c>
      <c r="O38" s="13" t="str">
        <f t="shared" si="4"/>
        <v/>
      </c>
      <c r="P38" s="13" t="str">
        <f t="shared" si="4"/>
        <v/>
      </c>
      <c r="Q38" s="13" t="str">
        <f t="shared" si="4"/>
        <v/>
      </c>
      <c r="R38" s="13" t="str">
        <f t="shared" si="4"/>
        <v/>
      </c>
      <c r="S38" s="13" t="str">
        <f t="shared" si="4"/>
        <v/>
      </c>
      <c r="T38" s="13" t="str">
        <f t="shared" si="4"/>
        <v/>
      </c>
      <c r="U38" s="13" t="str">
        <f t="shared" si="4"/>
        <v/>
      </c>
      <c r="V38" s="13" t="str">
        <f t="shared" si="5"/>
        <v/>
      </c>
      <c r="W38" s="13" t="str">
        <f t="shared" si="5"/>
        <v/>
      </c>
      <c r="X38" s="13" t="str">
        <f t="shared" si="5"/>
        <v/>
      </c>
      <c r="Y38" s="13" t="str">
        <f t="shared" si="5"/>
        <v/>
      </c>
      <c r="Z38" s="13" t="str">
        <f t="shared" si="5"/>
        <v/>
      </c>
      <c r="AA38" s="13" t="str">
        <f t="shared" si="5"/>
        <v/>
      </c>
      <c r="AB38" s="13" t="str">
        <f t="shared" si="5"/>
        <v/>
      </c>
      <c r="AC38" s="13" t="str">
        <f t="shared" si="5"/>
        <v/>
      </c>
      <c r="AD38" s="13" t="str">
        <f t="shared" si="5"/>
        <v/>
      </c>
      <c r="AE38" s="13" t="str">
        <f t="shared" si="5"/>
        <v/>
      </c>
      <c r="AF38" s="13" t="str">
        <f t="shared" si="5"/>
        <v/>
      </c>
      <c r="AG38" s="37">
        <f t="shared" si="3"/>
        <v>0</v>
      </c>
      <c r="AH38" s="37">
        <f t="shared" si="2"/>
        <v>0</v>
      </c>
      <c r="AI38" s="37" t="e">
        <f>IF(E38&gt;0,AG38/Calculations!$AB$10,"")</f>
        <v>#DIV/0!</v>
      </c>
      <c r="AJ38" s="75"/>
      <c r="AK38" s="75"/>
      <c r="AL38" s="75"/>
      <c r="AM38" s="75"/>
      <c r="AN38" s="75"/>
      <c r="AO38" s="75"/>
      <c r="AP38" s="75"/>
      <c r="AQ38" s="75"/>
      <c r="AR38" s="75"/>
      <c r="AS38" s="75"/>
    </row>
    <row r="39" spans="1:45" s="74" customFormat="1" ht="13.8" x14ac:dyDescent="0.3">
      <c r="A39" s="55" t="s">
        <v>37</v>
      </c>
      <c r="B39" s="196" t="str">
        <f>B25</f>
        <v>NGN</v>
      </c>
      <c r="C39" s="4"/>
      <c r="E39" s="139">
        <f>C16</f>
        <v>25</v>
      </c>
      <c r="F39" s="200" t="str">
        <f>IF($C$16&gt;COUNT($E39:E39)*$E39,COUNT($E39:E39)*$E39,"")</f>
        <v/>
      </c>
      <c r="G39" s="13" t="str">
        <f>IF($C$16&gt;COUNT($E39:F39)*$E39,COUNT($E39:F39)*$E39,"")</f>
        <v/>
      </c>
      <c r="H39" s="13" t="str">
        <f>IF($C$16&gt;COUNT($E39:G39)*$E39,COUNT($E39:G39)*$E39,"")</f>
        <v/>
      </c>
      <c r="I39" s="13" t="str">
        <f>IF($C$16&gt;COUNT($E39:H39)*$E39,COUNT($E39:H39)*$E39,"")</f>
        <v/>
      </c>
      <c r="J39" s="13" t="str">
        <f>IF($C$16&gt;COUNT($E39:I39)*$E39,COUNT($E39:I39)*$E39,"")</f>
        <v/>
      </c>
      <c r="K39" s="199" t="str">
        <f>IF($C$16&gt;COUNT($E39:J39)*$E39,COUNT($E39:J39)*$E39,"")</f>
        <v/>
      </c>
      <c r="L39" s="13" t="str">
        <f t="shared" si="4"/>
        <v/>
      </c>
      <c r="M39" s="13" t="str">
        <f t="shared" si="4"/>
        <v/>
      </c>
      <c r="N39" s="13" t="str">
        <f t="shared" si="4"/>
        <v/>
      </c>
      <c r="O39" s="13" t="str">
        <f t="shared" si="4"/>
        <v/>
      </c>
      <c r="P39" s="13" t="str">
        <f t="shared" si="4"/>
        <v/>
      </c>
      <c r="Q39" s="13" t="str">
        <f t="shared" si="4"/>
        <v/>
      </c>
      <c r="R39" s="13" t="str">
        <f t="shared" si="4"/>
        <v/>
      </c>
      <c r="S39" s="13" t="str">
        <f t="shared" si="4"/>
        <v/>
      </c>
      <c r="T39" s="13" t="str">
        <f t="shared" si="4"/>
        <v/>
      </c>
      <c r="U39" s="13" t="str">
        <f t="shared" si="4"/>
        <v/>
      </c>
      <c r="V39" s="13" t="str">
        <f t="shared" si="5"/>
        <v/>
      </c>
      <c r="W39" s="13" t="str">
        <f t="shared" si="5"/>
        <v/>
      </c>
      <c r="X39" s="13" t="str">
        <f t="shared" si="5"/>
        <v/>
      </c>
      <c r="Y39" s="13" t="str">
        <f t="shared" si="5"/>
        <v/>
      </c>
      <c r="Z39" s="13" t="str">
        <f t="shared" si="5"/>
        <v/>
      </c>
      <c r="AA39" s="13" t="str">
        <f t="shared" si="5"/>
        <v/>
      </c>
      <c r="AB39" s="13" t="str">
        <f t="shared" si="5"/>
        <v/>
      </c>
      <c r="AC39" s="13" t="str">
        <f t="shared" si="5"/>
        <v/>
      </c>
      <c r="AD39" s="13" t="str">
        <f t="shared" si="5"/>
        <v/>
      </c>
      <c r="AE39" s="13" t="str">
        <f t="shared" si="5"/>
        <v/>
      </c>
      <c r="AF39" s="13" t="str">
        <f t="shared" si="5"/>
        <v/>
      </c>
      <c r="AG39" s="37">
        <f t="shared" si="3"/>
        <v>0</v>
      </c>
      <c r="AH39" s="37">
        <f t="shared" si="2"/>
        <v>0</v>
      </c>
      <c r="AI39" s="37" t="e">
        <f>IF(E39&gt;0,AG39/Calculations!$AB$10,"")</f>
        <v>#DIV/0!</v>
      </c>
      <c r="AJ39" s="75"/>
      <c r="AK39" s="75"/>
      <c r="AL39" s="75"/>
      <c r="AM39" s="75"/>
      <c r="AN39" s="75"/>
      <c r="AO39" s="75"/>
      <c r="AP39" s="75"/>
      <c r="AQ39" s="75"/>
      <c r="AR39" s="75"/>
      <c r="AS39" s="75"/>
    </row>
    <row r="40" spans="1:45" s="74" customFormat="1" ht="13.8" x14ac:dyDescent="0.3">
      <c r="A40" s="55" t="s">
        <v>474</v>
      </c>
      <c r="B40" s="196" t="str">
        <f>B25</f>
        <v>NGN</v>
      </c>
      <c r="C40" s="4"/>
      <c r="E40" s="139">
        <f>C16</f>
        <v>25</v>
      </c>
      <c r="F40" s="200" t="str">
        <f>IF($C$16&gt;COUNT($E40:E40)*$E40,COUNT($E40:E40)*$E40,"")</f>
        <v/>
      </c>
      <c r="G40" s="13" t="str">
        <f>IF($C$16&gt;COUNT($E40:F40)*$E40,COUNT($E40:F40)*$E40,"")</f>
        <v/>
      </c>
      <c r="H40" s="13" t="str">
        <f>IF($C$16&gt;COUNT($E40:G40)*$E40,COUNT($E40:G40)*$E40,"")</f>
        <v/>
      </c>
      <c r="I40" s="13" t="str">
        <f>IF($C$16&gt;COUNT($E40:H40)*$E40,COUNT($E40:H40)*$E40,"")</f>
        <v/>
      </c>
      <c r="J40" s="13" t="str">
        <f>IF($C$16&gt;COUNT($E40:I40)*$E40,COUNT($E40:I40)*$E40,"")</f>
        <v/>
      </c>
      <c r="K40" s="199" t="str">
        <f>IF($C$16&gt;COUNT($E40:J40)*$E40,COUNT($E40:J40)*$E40,"")</f>
        <v/>
      </c>
      <c r="L40" s="13" t="str">
        <f t="shared" si="4"/>
        <v/>
      </c>
      <c r="M40" s="13" t="str">
        <f t="shared" si="4"/>
        <v/>
      </c>
      <c r="N40" s="13" t="str">
        <f t="shared" si="4"/>
        <v/>
      </c>
      <c r="O40" s="13" t="str">
        <f t="shared" si="4"/>
        <v/>
      </c>
      <c r="P40" s="13" t="str">
        <f t="shared" si="4"/>
        <v/>
      </c>
      <c r="Q40" s="13" t="str">
        <f t="shared" si="4"/>
        <v/>
      </c>
      <c r="R40" s="13" t="str">
        <f t="shared" si="4"/>
        <v/>
      </c>
      <c r="S40" s="13" t="str">
        <f t="shared" si="4"/>
        <v/>
      </c>
      <c r="T40" s="13" t="str">
        <f t="shared" si="4"/>
        <v/>
      </c>
      <c r="U40" s="13" t="str">
        <f t="shared" si="4"/>
        <v/>
      </c>
      <c r="V40" s="13" t="str">
        <f t="shared" si="5"/>
        <v/>
      </c>
      <c r="W40" s="13" t="str">
        <f t="shared" si="5"/>
        <v/>
      </c>
      <c r="X40" s="13" t="str">
        <f t="shared" si="5"/>
        <v/>
      </c>
      <c r="Y40" s="13" t="str">
        <f t="shared" si="5"/>
        <v/>
      </c>
      <c r="Z40" s="13" t="str">
        <f t="shared" si="5"/>
        <v/>
      </c>
      <c r="AA40" s="13" t="str">
        <f t="shared" si="5"/>
        <v/>
      </c>
      <c r="AB40" s="13" t="str">
        <f t="shared" si="5"/>
        <v/>
      </c>
      <c r="AC40" s="13" t="str">
        <f t="shared" si="5"/>
        <v/>
      </c>
      <c r="AD40" s="13" t="str">
        <f t="shared" si="5"/>
        <v/>
      </c>
      <c r="AE40" s="13" t="str">
        <f t="shared" si="5"/>
        <v/>
      </c>
      <c r="AF40" s="13" t="str">
        <f t="shared" si="5"/>
        <v/>
      </c>
      <c r="AG40" s="37">
        <f t="shared" si="3"/>
        <v>0</v>
      </c>
      <c r="AH40" s="37">
        <f t="shared" si="2"/>
        <v>0</v>
      </c>
      <c r="AI40" s="37" t="e">
        <f>IF(E40&gt;0,AG40/Calculations!$AB$10,"")</f>
        <v>#DIV/0!</v>
      </c>
      <c r="AJ40" s="75"/>
      <c r="AK40" s="75"/>
      <c r="AL40" s="75"/>
      <c r="AM40" s="75"/>
      <c r="AN40" s="75"/>
      <c r="AO40" s="75"/>
      <c r="AP40" s="75"/>
      <c r="AQ40" s="75"/>
      <c r="AR40" s="75"/>
      <c r="AS40" s="75"/>
    </row>
    <row r="41" spans="1:45" s="47" customFormat="1" ht="13.8" x14ac:dyDescent="0.3">
      <c r="A41" s="55"/>
      <c r="B41" s="196" t="str">
        <f>B25</f>
        <v>NGN</v>
      </c>
      <c r="C41" s="4"/>
      <c r="E41" s="139">
        <f>C16</f>
        <v>25</v>
      </c>
      <c r="F41" s="200"/>
      <c r="G41" s="13"/>
      <c r="H41" s="13"/>
      <c r="I41" s="13"/>
      <c r="J41" s="13"/>
      <c r="K41" s="199" t="str">
        <f>IF($C$16&gt;COUNT($E41:J41)*$E41,COUNT($E41:J41)*$E41,"")</f>
        <v/>
      </c>
      <c r="L41" s="13" t="str">
        <f t="shared" si="4"/>
        <v/>
      </c>
      <c r="M41" s="13" t="str">
        <f t="shared" si="4"/>
        <v/>
      </c>
      <c r="N41" s="13" t="str">
        <f t="shared" si="4"/>
        <v/>
      </c>
      <c r="O41" s="13" t="str">
        <f t="shared" si="4"/>
        <v/>
      </c>
      <c r="P41" s="13" t="str">
        <f t="shared" si="4"/>
        <v/>
      </c>
      <c r="Q41" s="13" t="str">
        <f t="shared" si="4"/>
        <v/>
      </c>
      <c r="R41" s="13" t="str">
        <f t="shared" si="4"/>
        <v/>
      </c>
      <c r="S41" s="13" t="str">
        <f t="shared" si="4"/>
        <v/>
      </c>
      <c r="T41" s="13" t="str">
        <f t="shared" si="4"/>
        <v/>
      </c>
      <c r="U41" s="13" t="str">
        <f t="shared" si="4"/>
        <v/>
      </c>
      <c r="V41" s="13" t="str">
        <f t="shared" si="5"/>
        <v/>
      </c>
      <c r="W41" s="13" t="str">
        <f t="shared" si="5"/>
        <v/>
      </c>
      <c r="X41" s="13" t="str">
        <f t="shared" si="5"/>
        <v/>
      </c>
      <c r="Y41" s="13" t="str">
        <f t="shared" si="5"/>
        <v/>
      </c>
      <c r="Z41" s="13" t="str">
        <f t="shared" si="5"/>
        <v/>
      </c>
      <c r="AA41" s="13" t="str">
        <f t="shared" si="5"/>
        <v/>
      </c>
      <c r="AB41" s="13" t="str">
        <f t="shared" si="5"/>
        <v/>
      </c>
      <c r="AC41" s="13" t="str">
        <f t="shared" si="5"/>
        <v/>
      </c>
      <c r="AD41" s="13" t="str">
        <f t="shared" si="5"/>
        <v/>
      </c>
      <c r="AE41" s="13" t="str">
        <f t="shared" si="5"/>
        <v/>
      </c>
      <c r="AF41" s="13" t="str">
        <f t="shared" si="5"/>
        <v/>
      </c>
      <c r="AG41" s="37">
        <f t="shared" si="3"/>
        <v>0</v>
      </c>
      <c r="AH41" s="37">
        <f t="shared" si="2"/>
        <v>0</v>
      </c>
      <c r="AI41" s="37" t="e">
        <f>IF(E41&gt;0,AG41/Calculations!$AB$10,"")</f>
        <v>#DIV/0!</v>
      </c>
    </row>
    <row r="42" spans="1:45" s="47" customFormat="1" ht="13.8" x14ac:dyDescent="0.3">
      <c r="A42" s="55"/>
      <c r="B42" s="196" t="str">
        <f>B25</f>
        <v>NGN</v>
      </c>
      <c r="C42" s="4"/>
      <c r="E42" s="139">
        <f>C16</f>
        <v>25</v>
      </c>
      <c r="F42" s="200"/>
      <c r="G42" s="13"/>
      <c r="H42" s="13"/>
      <c r="I42" s="13"/>
      <c r="J42" s="13"/>
      <c r="K42" s="199" t="str">
        <f>IF($C$16&gt;COUNT($E42:J42)*$E42,COUNT($E42:J42)*$E42,"")</f>
        <v/>
      </c>
      <c r="L42" s="13" t="str">
        <f t="shared" si="4"/>
        <v/>
      </c>
      <c r="M42" s="13" t="str">
        <f t="shared" si="4"/>
        <v/>
      </c>
      <c r="N42" s="13" t="str">
        <f t="shared" si="4"/>
        <v/>
      </c>
      <c r="O42" s="13" t="str">
        <f t="shared" si="4"/>
        <v/>
      </c>
      <c r="P42" s="13" t="str">
        <f t="shared" si="4"/>
        <v/>
      </c>
      <c r="Q42" s="13" t="str">
        <f t="shared" si="4"/>
        <v/>
      </c>
      <c r="R42" s="13" t="str">
        <f t="shared" si="4"/>
        <v/>
      </c>
      <c r="S42" s="13" t="str">
        <f t="shared" si="4"/>
        <v/>
      </c>
      <c r="T42" s="13" t="str">
        <f t="shared" si="4"/>
        <v/>
      </c>
      <c r="U42" s="13" t="str">
        <f t="shared" si="4"/>
        <v/>
      </c>
      <c r="V42" s="13" t="str">
        <f t="shared" si="5"/>
        <v/>
      </c>
      <c r="W42" s="13" t="str">
        <f t="shared" si="5"/>
        <v/>
      </c>
      <c r="X42" s="13" t="str">
        <f t="shared" si="5"/>
        <v/>
      </c>
      <c r="Y42" s="13" t="str">
        <f t="shared" si="5"/>
        <v/>
      </c>
      <c r="Z42" s="13" t="str">
        <f t="shared" si="5"/>
        <v/>
      </c>
      <c r="AA42" s="13" t="str">
        <f t="shared" si="5"/>
        <v/>
      </c>
      <c r="AB42" s="13" t="str">
        <f t="shared" si="5"/>
        <v/>
      </c>
      <c r="AC42" s="13" t="str">
        <f t="shared" si="5"/>
        <v/>
      </c>
      <c r="AD42" s="13" t="str">
        <f t="shared" si="5"/>
        <v/>
      </c>
      <c r="AE42" s="13" t="str">
        <f t="shared" si="5"/>
        <v/>
      </c>
      <c r="AF42" s="13" t="str">
        <f t="shared" si="5"/>
        <v/>
      </c>
      <c r="AG42" s="37">
        <f t="shared" si="3"/>
        <v>0</v>
      </c>
      <c r="AH42" s="37">
        <f t="shared" si="2"/>
        <v>0</v>
      </c>
      <c r="AI42" s="37" t="e">
        <f>IF(E42&gt;0,AG42/Calculations!$AB$10,"")</f>
        <v>#DIV/0!</v>
      </c>
    </row>
    <row r="43" spans="1:45" s="47" customFormat="1" x14ac:dyDescent="0.3">
      <c r="A43" s="585" t="s">
        <v>71</v>
      </c>
      <c r="B43" s="586"/>
      <c r="C43" s="587"/>
      <c r="E43" s="495"/>
      <c r="F43" s="200"/>
      <c r="G43" s="13"/>
      <c r="H43" s="13"/>
      <c r="I43" s="13"/>
      <c r="J43" s="13"/>
      <c r="K43" s="199"/>
      <c r="L43" s="13" t="str">
        <f t="shared" si="4"/>
        <v/>
      </c>
      <c r="M43" s="13" t="str">
        <f t="shared" si="4"/>
        <v/>
      </c>
      <c r="N43" s="13" t="str">
        <f t="shared" si="4"/>
        <v/>
      </c>
      <c r="O43" s="13" t="str">
        <f t="shared" si="4"/>
        <v/>
      </c>
      <c r="P43" s="13" t="str">
        <f t="shared" si="4"/>
        <v/>
      </c>
      <c r="Q43" s="13" t="str">
        <f t="shared" si="4"/>
        <v/>
      </c>
      <c r="R43" s="13" t="str">
        <f t="shared" si="4"/>
        <v/>
      </c>
      <c r="S43" s="13" t="str">
        <f t="shared" si="4"/>
        <v/>
      </c>
      <c r="T43" s="13" t="str">
        <f t="shared" si="4"/>
        <v/>
      </c>
      <c r="U43" s="13" t="str">
        <f t="shared" si="4"/>
        <v/>
      </c>
      <c r="V43" s="13" t="str">
        <f t="shared" si="5"/>
        <v/>
      </c>
      <c r="W43" s="13" t="str">
        <f t="shared" si="5"/>
        <v/>
      </c>
      <c r="X43" s="13" t="str">
        <f t="shared" si="5"/>
        <v/>
      </c>
      <c r="Y43" s="13" t="str">
        <f t="shared" si="5"/>
        <v/>
      </c>
      <c r="Z43" s="13" t="str">
        <f t="shared" si="5"/>
        <v/>
      </c>
      <c r="AA43" s="13" t="str">
        <f t="shared" si="5"/>
        <v/>
      </c>
      <c r="AB43" s="13" t="str">
        <f t="shared" si="5"/>
        <v/>
      </c>
      <c r="AC43" s="13" t="str">
        <f t="shared" si="5"/>
        <v/>
      </c>
      <c r="AD43" s="13" t="str">
        <f t="shared" si="5"/>
        <v/>
      </c>
      <c r="AE43" s="13" t="str">
        <f t="shared" si="5"/>
        <v/>
      </c>
      <c r="AF43" s="13" t="str">
        <f t="shared" si="5"/>
        <v/>
      </c>
      <c r="AG43" s="37">
        <f t="shared" si="3"/>
        <v>0</v>
      </c>
      <c r="AH43" s="37" t="str">
        <f t="shared" si="2"/>
        <v/>
      </c>
      <c r="AI43" s="37" t="str">
        <f>IF(E43&gt;0,AG43/Calculations!$AB$10,"")</f>
        <v/>
      </c>
      <c r="AJ43" s="61"/>
      <c r="AK43" s="61"/>
      <c r="AL43" s="61"/>
      <c r="AM43" s="61"/>
      <c r="AN43" s="61"/>
      <c r="AO43" s="61"/>
      <c r="AP43" s="61"/>
      <c r="AQ43" s="61"/>
      <c r="AR43" s="61"/>
      <c r="AS43" s="61"/>
    </row>
    <row r="44" spans="1:45" s="47" customFormat="1" ht="13.8" x14ac:dyDescent="0.3">
      <c r="A44" s="55" t="s">
        <v>112</v>
      </c>
      <c r="B44" s="196" t="str">
        <f>B25</f>
        <v>NGN</v>
      </c>
      <c r="C44" s="4"/>
      <c r="E44" s="139">
        <v>15</v>
      </c>
      <c r="F44" s="200">
        <f>IF($C$16&gt;COUNT($E44:E44)*$E44,COUNT($E44:E44)*$E44,"")</f>
        <v>15</v>
      </c>
      <c r="G44" s="13" t="str">
        <f>IF($C$16&gt;COUNT($E44:F44)*$E44,COUNT($E44:F44)*$E44,"")</f>
        <v/>
      </c>
      <c r="H44" s="13" t="str">
        <f>IF($C$16&gt;COUNT($E44:G44)*$E44,COUNT($E44:G44)*$E44,"")</f>
        <v/>
      </c>
      <c r="I44" s="13" t="str">
        <f>IF($C$16&gt;COUNT($E44:H44)*$E44,COUNT($E44:H44)*$E44,"")</f>
        <v/>
      </c>
      <c r="J44" s="13" t="str">
        <f>IF($C$16&gt;COUNT($E44:I44)*$E44,COUNT($E44:I44)*$E44,"")</f>
        <v/>
      </c>
      <c r="K44" s="199" t="str">
        <f>IF($C$16&gt;COUNT($E44:J44)*$E44,COUNT($E44:J44)*$E44,"")</f>
        <v/>
      </c>
      <c r="L44" s="13" t="str">
        <f t="shared" ref="L44:U53" si="6">IF(L$23=0,"",IF($F44=L$23,$C44,IF($G44=L$23,$C44,IF($H44=L$23,$C44,IF($I44=L$23,$C44,IF($J44=L$23,$C44,IF($K44=L$23,$C44,"")))))))</f>
        <v/>
      </c>
      <c r="M44" s="13" t="str">
        <f t="shared" si="6"/>
        <v/>
      </c>
      <c r="N44" s="13" t="str">
        <f t="shared" si="6"/>
        <v/>
      </c>
      <c r="O44" s="13" t="str">
        <f t="shared" si="6"/>
        <v/>
      </c>
      <c r="P44" s="13" t="str">
        <f t="shared" si="6"/>
        <v/>
      </c>
      <c r="Q44" s="13" t="str">
        <f t="shared" si="6"/>
        <v/>
      </c>
      <c r="R44" s="13" t="str">
        <f t="shared" si="6"/>
        <v/>
      </c>
      <c r="S44" s="13" t="str">
        <f t="shared" si="6"/>
        <v/>
      </c>
      <c r="T44" s="13" t="str">
        <f t="shared" si="6"/>
        <v/>
      </c>
      <c r="U44" s="13" t="str">
        <f t="shared" si="6"/>
        <v/>
      </c>
      <c r="V44" s="13">
        <f t="shared" ref="V44:AF53" si="7">IF(V$23=0,"",IF($F44=V$23,$C44,IF($G44=V$23,$C44,IF($H44=V$23,$C44,IF($I44=V$23,$C44,IF($J44=V$23,$C44,IF($K44=V$23,$C44,"")))))))</f>
        <v>0</v>
      </c>
      <c r="W44" s="13" t="str">
        <f t="shared" si="7"/>
        <v/>
      </c>
      <c r="X44" s="13" t="str">
        <f t="shared" si="7"/>
        <v/>
      </c>
      <c r="Y44" s="13" t="str">
        <f t="shared" si="7"/>
        <v/>
      </c>
      <c r="Z44" s="13" t="str">
        <f t="shared" si="7"/>
        <v/>
      </c>
      <c r="AA44" s="13" t="str">
        <f t="shared" si="7"/>
        <v/>
      </c>
      <c r="AB44" s="13" t="str">
        <f t="shared" si="7"/>
        <v/>
      </c>
      <c r="AC44" s="13" t="str">
        <f t="shared" si="7"/>
        <v/>
      </c>
      <c r="AD44" s="13" t="str">
        <f t="shared" si="7"/>
        <v/>
      </c>
      <c r="AE44" s="13" t="str">
        <f t="shared" si="7"/>
        <v/>
      </c>
      <c r="AF44" s="13" t="str">
        <f t="shared" si="7"/>
        <v/>
      </c>
      <c r="AG44" s="37">
        <f>IF(E44&gt;0,C44/E44*$C$16,C44)</f>
        <v>0</v>
      </c>
      <c r="AH44" s="37">
        <f t="shared" si="2"/>
        <v>0</v>
      </c>
      <c r="AI44" s="37" t="e">
        <f>IF(E44&gt;0,AG44/Calculations!$AB$10,"")</f>
        <v>#DIV/0!</v>
      </c>
    </row>
    <row r="45" spans="1:45" s="47" customFormat="1" ht="13.8" x14ac:dyDescent="0.3">
      <c r="A45" s="77"/>
      <c r="B45" s="60"/>
      <c r="C45" s="78"/>
      <c r="E45" s="495"/>
      <c r="F45" s="200"/>
      <c r="G45" s="13"/>
      <c r="H45" s="13"/>
      <c r="I45" s="13"/>
      <c r="J45" s="13"/>
      <c r="K45" s="199"/>
      <c r="L45" s="13" t="str">
        <f t="shared" si="6"/>
        <v/>
      </c>
      <c r="M45" s="13" t="str">
        <f t="shared" si="6"/>
        <v/>
      </c>
      <c r="N45" s="13" t="str">
        <f t="shared" si="6"/>
        <v/>
      </c>
      <c r="O45" s="13" t="str">
        <f t="shared" si="6"/>
        <v/>
      </c>
      <c r="P45" s="13" t="str">
        <f t="shared" si="6"/>
        <v/>
      </c>
      <c r="Q45" s="13" t="str">
        <f t="shared" si="6"/>
        <v/>
      </c>
      <c r="R45" s="13" t="str">
        <f t="shared" si="6"/>
        <v/>
      </c>
      <c r="S45" s="13" t="str">
        <f t="shared" si="6"/>
        <v/>
      </c>
      <c r="T45" s="13" t="str">
        <f t="shared" si="6"/>
        <v/>
      </c>
      <c r="U45" s="13" t="str">
        <f t="shared" si="6"/>
        <v/>
      </c>
      <c r="V45" s="13" t="str">
        <f t="shared" si="7"/>
        <v/>
      </c>
      <c r="W45" s="13" t="str">
        <f t="shared" si="7"/>
        <v/>
      </c>
      <c r="X45" s="13" t="str">
        <f t="shared" si="7"/>
        <v/>
      </c>
      <c r="Y45" s="13" t="str">
        <f t="shared" si="7"/>
        <v/>
      </c>
      <c r="Z45" s="13" t="str">
        <f t="shared" si="7"/>
        <v/>
      </c>
      <c r="AA45" s="13" t="str">
        <f t="shared" si="7"/>
        <v/>
      </c>
      <c r="AB45" s="13" t="str">
        <f t="shared" si="7"/>
        <v/>
      </c>
      <c r="AC45" s="13" t="str">
        <f t="shared" si="7"/>
        <v/>
      </c>
      <c r="AD45" s="13" t="str">
        <f t="shared" si="7"/>
        <v/>
      </c>
      <c r="AE45" s="13" t="str">
        <f t="shared" si="7"/>
        <v/>
      </c>
      <c r="AF45" s="13" t="str">
        <f t="shared" si="7"/>
        <v/>
      </c>
      <c r="AG45" s="37">
        <f t="shared" si="3"/>
        <v>0</v>
      </c>
      <c r="AH45" s="37" t="str">
        <f t="shared" si="2"/>
        <v/>
      </c>
      <c r="AI45" s="37" t="str">
        <f>IF(E45&gt;0,AG45/Calculations!$AB$10,"")</f>
        <v/>
      </c>
    </row>
    <row r="46" spans="1:45" s="47" customFormat="1" ht="13.8" x14ac:dyDescent="0.3">
      <c r="A46" s="582" t="s">
        <v>97</v>
      </c>
      <c r="B46" s="583"/>
      <c r="C46" s="584"/>
      <c r="E46" s="496"/>
      <c r="F46" s="200"/>
      <c r="G46" s="13"/>
      <c r="H46" s="13"/>
      <c r="I46" s="13"/>
      <c r="J46" s="13"/>
      <c r="K46" s="199"/>
      <c r="L46" s="13" t="str">
        <f t="shared" si="6"/>
        <v/>
      </c>
      <c r="M46" s="13" t="str">
        <f t="shared" si="6"/>
        <v/>
      </c>
      <c r="N46" s="13" t="str">
        <f t="shared" si="6"/>
        <v/>
      </c>
      <c r="O46" s="13" t="str">
        <f t="shared" si="6"/>
        <v/>
      </c>
      <c r="P46" s="13" t="str">
        <f t="shared" si="6"/>
        <v/>
      </c>
      <c r="Q46" s="13" t="str">
        <f t="shared" si="6"/>
        <v/>
      </c>
      <c r="R46" s="13" t="str">
        <f t="shared" si="6"/>
        <v/>
      </c>
      <c r="S46" s="13" t="str">
        <f t="shared" si="6"/>
        <v/>
      </c>
      <c r="T46" s="13" t="str">
        <f t="shared" si="6"/>
        <v/>
      </c>
      <c r="U46" s="13" t="str">
        <f t="shared" si="6"/>
        <v/>
      </c>
      <c r="V46" s="13" t="str">
        <f t="shared" si="7"/>
        <v/>
      </c>
      <c r="W46" s="13" t="str">
        <f t="shared" si="7"/>
        <v/>
      </c>
      <c r="X46" s="13" t="str">
        <f t="shared" si="7"/>
        <v/>
      </c>
      <c r="Y46" s="13" t="str">
        <f t="shared" si="7"/>
        <v/>
      </c>
      <c r="Z46" s="13" t="str">
        <f t="shared" si="7"/>
        <v/>
      </c>
      <c r="AA46" s="13" t="str">
        <f t="shared" si="7"/>
        <v/>
      </c>
      <c r="AB46" s="13" t="str">
        <f t="shared" si="7"/>
        <v/>
      </c>
      <c r="AC46" s="13" t="str">
        <f t="shared" si="7"/>
        <v/>
      </c>
      <c r="AD46" s="13" t="str">
        <f t="shared" si="7"/>
        <v/>
      </c>
      <c r="AE46" s="13" t="str">
        <f t="shared" si="7"/>
        <v/>
      </c>
      <c r="AF46" s="13" t="str">
        <f t="shared" si="7"/>
        <v/>
      </c>
      <c r="AG46" s="37">
        <f t="shared" si="3"/>
        <v>0</v>
      </c>
      <c r="AH46" s="37" t="str">
        <f t="shared" si="2"/>
        <v/>
      </c>
      <c r="AI46" s="37" t="str">
        <f>IF(E46&gt;0,AG46/Calculations!$AB$10,"")</f>
        <v/>
      </c>
      <c r="AJ46" s="61"/>
      <c r="AK46" s="61"/>
      <c r="AL46" s="61"/>
      <c r="AM46" s="61"/>
      <c r="AN46" s="61"/>
      <c r="AO46" s="61"/>
      <c r="AP46" s="61"/>
      <c r="AQ46" s="61"/>
      <c r="AR46" s="61"/>
      <c r="AS46" s="61"/>
    </row>
    <row r="47" spans="1:45" s="74" customFormat="1" ht="13.8" x14ac:dyDescent="0.3">
      <c r="A47" s="55" t="s">
        <v>28</v>
      </c>
      <c r="B47" s="196" t="str">
        <f>B24</f>
        <v>NGN</v>
      </c>
      <c r="C47" s="4"/>
      <c r="D47" s="47"/>
      <c r="E47" s="139">
        <f>C16</f>
        <v>25</v>
      </c>
      <c r="F47" s="200" t="str">
        <f>IF($C$16&gt;COUNT($E47:E47)*$E47,COUNT($E47:E47)*$E47,"")</f>
        <v/>
      </c>
      <c r="G47" s="13" t="str">
        <f>IF($C$16&gt;COUNT($E47:F47)*$E47,COUNT($E47:F47)*$E47,"")</f>
        <v/>
      </c>
      <c r="H47" s="13" t="str">
        <f>IF($C$16&gt;COUNT($E47:G47)*$E47,COUNT($E47:G47)*$E47,"")</f>
        <v/>
      </c>
      <c r="I47" s="13" t="str">
        <f>IF($C$16&gt;COUNT($E47:H47)*$E47,COUNT($E47:H47)*$E47,"")</f>
        <v/>
      </c>
      <c r="J47" s="13" t="str">
        <f>IF($C$16&gt;COUNT($E47:I47)*$E47,COUNT($E47:I47)*$E47,"")</f>
        <v/>
      </c>
      <c r="K47" s="199" t="str">
        <f>IF($C$16&gt;COUNT($E47:J47)*$E47,COUNT($E47:J47)*$E47,"")</f>
        <v/>
      </c>
      <c r="L47" s="13" t="str">
        <f t="shared" si="6"/>
        <v/>
      </c>
      <c r="M47" s="13" t="str">
        <f t="shared" si="6"/>
        <v/>
      </c>
      <c r="N47" s="13" t="str">
        <f t="shared" si="6"/>
        <v/>
      </c>
      <c r="O47" s="13" t="str">
        <f t="shared" si="6"/>
        <v/>
      </c>
      <c r="P47" s="13" t="str">
        <f t="shared" si="6"/>
        <v/>
      </c>
      <c r="Q47" s="13" t="str">
        <f t="shared" si="6"/>
        <v/>
      </c>
      <c r="R47" s="13" t="str">
        <f t="shared" si="6"/>
        <v/>
      </c>
      <c r="S47" s="13" t="str">
        <f t="shared" si="6"/>
        <v/>
      </c>
      <c r="T47" s="13" t="str">
        <f t="shared" si="6"/>
        <v/>
      </c>
      <c r="U47" s="13" t="str">
        <f t="shared" si="6"/>
        <v/>
      </c>
      <c r="V47" s="13" t="str">
        <f t="shared" si="7"/>
        <v/>
      </c>
      <c r="W47" s="13" t="str">
        <f t="shared" si="7"/>
        <v/>
      </c>
      <c r="X47" s="13" t="str">
        <f t="shared" si="7"/>
        <v/>
      </c>
      <c r="Y47" s="13" t="str">
        <f t="shared" si="7"/>
        <v/>
      </c>
      <c r="Z47" s="13" t="str">
        <f t="shared" si="7"/>
        <v/>
      </c>
      <c r="AA47" s="13" t="str">
        <f t="shared" si="7"/>
        <v/>
      </c>
      <c r="AB47" s="13" t="str">
        <f t="shared" si="7"/>
        <v/>
      </c>
      <c r="AC47" s="13" t="str">
        <f t="shared" si="7"/>
        <v/>
      </c>
      <c r="AD47" s="13" t="str">
        <f t="shared" si="7"/>
        <v/>
      </c>
      <c r="AE47" s="13" t="str">
        <f t="shared" si="7"/>
        <v/>
      </c>
      <c r="AF47" s="13" t="str">
        <f t="shared" si="7"/>
        <v/>
      </c>
      <c r="AG47" s="37">
        <f t="shared" si="3"/>
        <v>0</v>
      </c>
      <c r="AH47" s="37">
        <f t="shared" si="2"/>
        <v>0</v>
      </c>
      <c r="AI47" s="37" t="e">
        <f>IF(E47&gt;0,AG47/Calculations!$AB$10,"")</f>
        <v>#DIV/0!</v>
      </c>
      <c r="AJ47" s="75"/>
      <c r="AK47" s="75"/>
      <c r="AL47" s="75"/>
      <c r="AM47" s="75"/>
      <c r="AN47" s="75"/>
      <c r="AO47" s="75"/>
      <c r="AP47" s="75"/>
      <c r="AQ47" s="75"/>
      <c r="AR47" s="75"/>
      <c r="AS47" s="75"/>
    </row>
    <row r="48" spans="1:45" s="74" customFormat="1" ht="13.8" x14ac:dyDescent="0.3">
      <c r="A48" s="55" t="s">
        <v>44</v>
      </c>
      <c r="B48" s="196" t="str">
        <f>B25</f>
        <v>NGN</v>
      </c>
      <c r="C48" s="4"/>
      <c r="D48" s="47"/>
      <c r="E48" s="139"/>
      <c r="F48" s="201"/>
      <c r="G48" s="38"/>
      <c r="H48" s="38"/>
      <c r="I48" s="38"/>
      <c r="J48" s="38"/>
      <c r="K48" s="199"/>
      <c r="L48" s="13" t="str">
        <f t="shared" si="6"/>
        <v/>
      </c>
      <c r="M48" s="13" t="str">
        <f t="shared" si="6"/>
        <v/>
      </c>
      <c r="N48" s="13" t="str">
        <f t="shared" si="6"/>
        <v/>
      </c>
      <c r="O48" s="13" t="str">
        <f t="shared" si="6"/>
        <v/>
      </c>
      <c r="P48" s="13" t="str">
        <f t="shared" si="6"/>
        <v/>
      </c>
      <c r="Q48" s="13" t="str">
        <f t="shared" si="6"/>
        <v/>
      </c>
      <c r="R48" s="13" t="str">
        <f t="shared" si="6"/>
        <v/>
      </c>
      <c r="S48" s="13" t="str">
        <f t="shared" si="6"/>
        <v/>
      </c>
      <c r="T48" s="13" t="str">
        <f t="shared" si="6"/>
        <v/>
      </c>
      <c r="U48" s="13" t="str">
        <f t="shared" si="6"/>
        <v/>
      </c>
      <c r="V48" s="13" t="str">
        <f t="shared" si="7"/>
        <v/>
      </c>
      <c r="W48" s="13" t="str">
        <f t="shared" si="7"/>
        <v/>
      </c>
      <c r="X48" s="13" t="str">
        <f t="shared" si="7"/>
        <v/>
      </c>
      <c r="Y48" s="13" t="str">
        <f t="shared" si="7"/>
        <v/>
      </c>
      <c r="Z48" s="13" t="str">
        <f t="shared" si="7"/>
        <v/>
      </c>
      <c r="AA48" s="13" t="str">
        <f t="shared" si="7"/>
        <v/>
      </c>
      <c r="AB48" s="13" t="str">
        <f t="shared" si="7"/>
        <v/>
      </c>
      <c r="AC48" s="13" t="str">
        <f t="shared" si="7"/>
        <v/>
      </c>
      <c r="AD48" s="13" t="str">
        <f t="shared" si="7"/>
        <v/>
      </c>
      <c r="AE48" s="13" t="str">
        <f t="shared" si="7"/>
        <v/>
      </c>
      <c r="AF48" s="13" t="str">
        <f t="shared" si="7"/>
        <v/>
      </c>
      <c r="AG48" s="37">
        <f t="shared" si="3"/>
        <v>0</v>
      </c>
      <c r="AH48" s="37" t="str">
        <f t="shared" si="2"/>
        <v/>
      </c>
      <c r="AI48" s="37" t="str">
        <f>IF(E48&gt;0,AG48/Calculations!$AB$10,"")</f>
        <v/>
      </c>
      <c r="AJ48" s="75"/>
      <c r="AK48" s="75"/>
      <c r="AL48" s="75"/>
      <c r="AM48" s="75"/>
      <c r="AN48" s="75"/>
      <c r="AO48" s="75"/>
      <c r="AP48" s="75"/>
      <c r="AQ48" s="75"/>
      <c r="AR48" s="75"/>
      <c r="AS48" s="75"/>
    </row>
    <row r="49" spans="1:45" s="74" customFormat="1" ht="13.8" x14ac:dyDescent="0.3">
      <c r="A49" s="55" t="s">
        <v>41</v>
      </c>
      <c r="B49" s="196" t="str">
        <f>B25</f>
        <v>NGN</v>
      </c>
      <c r="C49" s="4"/>
      <c r="D49" s="47"/>
      <c r="E49" s="139">
        <f>C16</f>
        <v>25</v>
      </c>
      <c r="F49" s="200" t="str">
        <f>IF($C$16&gt;COUNT($E49:E49)*$E49,COUNT($E49:E49)*$E49,"")</f>
        <v/>
      </c>
      <c r="G49" s="13" t="str">
        <f>IF($C$16&gt;COUNT($E49:F49)*$E49,COUNT($E49:F49)*$E49,"")</f>
        <v/>
      </c>
      <c r="H49" s="13" t="str">
        <f>IF($C$16&gt;COUNT($E49:G49)*$E49,COUNT($E49:G49)*$E49,"")</f>
        <v/>
      </c>
      <c r="I49" s="13" t="str">
        <f>IF($C$16&gt;COUNT($E49:H49)*$E49,COUNT($E49:H49)*$E49,"")</f>
        <v/>
      </c>
      <c r="J49" s="13" t="str">
        <f>IF($C$16&gt;COUNT($E49:I49)*$E49,COUNT($E49:I49)*$E49,"")</f>
        <v/>
      </c>
      <c r="K49" s="199" t="str">
        <f>IF($C$16&gt;COUNT($E49:J49)*$E49,COUNT($E49:J49)*$E49,"")</f>
        <v/>
      </c>
      <c r="L49" s="13" t="str">
        <f t="shared" si="6"/>
        <v/>
      </c>
      <c r="M49" s="13" t="str">
        <f t="shared" si="6"/>
        <v/>
      </c>
      <c r="N49" s="13" t="str">
        <f t="shared" si="6"/>
        <v/>
      </c>
      <c r="O49" s="13" t="str">
        <f t="shared" si="6"/>
        <v/>
      </c>
      <c r="P49" s="13" t="str">
        <f t="shared" si="6"/>
        <v/>
      </c>
      <c r="Q49" s="13" t="str">
        <f t="shared" si="6"/>
        <v/>
      </c>
      <c r="R49" s="13" t="str">
        <f t="shared" si="6"/>
        <v/>
      </c>
      <c r="S49" s="13" t="str">
        <f t="shared" si="6"/>
        <v/>
      </c>
      <c r="T49" s="13" t="str">
        <f t="shared" si="6"/>
        <v/>
      </c>
      <c r="U49" s="13" t="str">
        <f t="shared" si="6"/>
        <v/>
      </c>
      <c r="V49" s="13" t="str">
        <f t="shared" si="7"/>
        <v/>
      </c>
      <c r="W49" s="13" t="str">
        <f t="shared" si="7"/>
        <v/>
      </c>
      <c r="X49" s="13" t="str">
        <f t="shared" si="7"/>
        <v/>
      </c>
      <c r="Y49" s="13" t="str">
        <f t="shared" si="7"/>
        <v/>
      </c>
      <c r="Z49" s="13" t="str">
        <f t="shared" si="7"/>
        <v/>
      </c>
      <c r="AA49" s="13" t="str">
        <f t="shared" si="7"/>
        <v/>
      </c>
      <c r="AB49" s="13" t="str">
        <f t="shared" si="7"/>
        <v/>
      </c>
      <c r="AC49" s="13" t="str">
        <f t="shared" si="7"/>
        <v/>
      </c>
      <c r="AD49" s="13" t="str">
        <f t="shared" si="7"/>
        <v/>
      </c>
      <c r="AE49" s="13" t="str">
        <f t="shared" si="7"/>
        <v/>
      </c>
      <c r="AF49" s="13" t="str">
        <f t="shared" si="7"/>
        <v/>
      </c>
      <c r="AG49" s="37">
        <f t="shared" si="3"/>
        <v>0</v>
      </c>
      <c r="AH49" s="37">
        <f t="shared" si="2"/>
        <v>0</v>
      </c>
      <c r="AI49" s="37" t="e">
        <f>IF(E49&gt;0,AG49/Calculations!$AB$10,"")</f>
        <v>#DIV/0!</v>
      </c>
      <c r="AJ49" s="75"/>
      <c r="AK49" s="75"/>
      <c r="AL49" s="75"/>
      <c r="AM49" s="75"/>
      <c r="AN49" s="75"/>
      <c r="AO49" s="75"/>
      <c r="AP49" s="75"/>
      <c r="AQ49" s="75"/>
      <c r="AR49" s="75"/>
      <c r="AS49" s="75"/>
    </row>
    <row r="50" spans="1:45" s="74" customFormat="1" ht="13.8" x14ac:dyDescent="0.3">
      <c r="A50" s="55" t="s">
        <v>12</v>
      </c>
      <c r="B50" s="196" t="str">
        <f>B25</f>
        <v>NGN</v>
      </c>
      <c r="C50" s="4"/>
      <c r="D50" s="47"/>
      <c r="E50" s="139">
        <f>C16</f>
        <v>25</v>
      </c>
      <c r="F50" s="200" t="str">
        <f>IF($C$16&gt;COUNT($E50:E50)*$E50,COUNT($E50:E50)*$E50,"")</f>
        <v/>
      </c>
      <c r="G50" s="13" t="str">
        <f>IF($C$16&gt;COUNT($E50:F50)*$E50,COUNT($E50:F50)*$E50,"")</f>
        <v/>
      </c>
      <c r="H50" s="13" t="str">
        <f>IF($C$16&gt;COUNT($E50:G50)*$E50,COUNT($E50:G50)*$E50,"")</f>
        <v/>
      </c>
      <c r="I50" s="13" t="str">
        <f>IF($C$16&gt;COUNT($E50:H50)*$E50,COUNT($E50:H50)*$E50,"")</f>
        <v/>
      </c>
      <c r="J50" s="13" t="str">
        <f>IF($C$16&gt;COUNT($E50:I50)*$E50,COUNT($E50:I50)*$E50,"")</f>
        <v/>
      </c>
      <c r="K50" s="199" t="str">
        <f>IF($C$16&gt;COUNT($E50:J50)*$E50,COUNT($E50:J50)*$E50,"")</f>
        <v/>
      </c>
      <c r="L50" s="13" t="str">
        <f t="shared" si="6"/>
        <v/>
      </c>
      <c r="M50" s="13" t="str">
        <f t="shared" si="6"/>
        <v/>
      </c>
      <c r="N50" s="13" t="str">
        <f t="shared" si="6"/>
        <v/>
      </c>
      <c r="O50" s="13" t="str">
        <f t="shared" si="6"/>
        <v/>
      </c>
      <c r="P50" s="13" t="str">
        <f t="shared" si="6"/>
        <v/>
      </c>
      <c r="Q50" s="13" t="str">
        <f t="shared" si="6"/>
        <v/>
      </c>
      <c r="R50" s="13" t="str">
        <f t="shared" si="6"/>
        <v/>
      </c>
      <c r="S50" s="13" t="str">
        <f t="shared" si="6"/>
        <v/>
      </c>
      <c r="T50" s="13" t="str">
        <f t="shared" si="6"/>
        <v/>
      </c>
      <c r="U50" s="13" t="str">
        <f t="shared" si="6"/>
        <v/>
      </c>
      <c r="V50" s="13" t="str">
        <f t="shared" si="7"/>
        <v/>
      </c>
      <c r="W50" s="13" t="str">
        <f t="shared" si="7"/>
        <v/>
      </c>
      <c r="X50" s="13" t="str">
        <f t="shared" si="7"/>
        <v/>
      </c>
      <c r="Y50" s="13" t="str">
        <f t="shared" si="7"/>
        <v/>
      </c>
      <c r="Z50" s="13" t="str">
        <f t="shared" si="7"/>
        <v/>
      </c>
      <c r="AA50" s="13" t="str">
        <f t="shared" si="7"/>
        <v/>
      </c>
      <c r="AB50" s="13" t="str">
        <f t="shared" si="7"/>
        <v/>
      </c>
      <c r="AC50" s="13" t="str">
        <f t="shared" si="7"/>
        <v/>
      </c>
      <c r="AD50" s="13" t="str">
        <f t="shared" si="7"/>
        <v/>
      </c>
      <c r="AE50" s="13" t="str">
        <f t="shared" si="7"/>
        <v/>
      </c>
      <c r="AF50" s="13" t="str">
        <f t="shared" si="7"/>
        <v/>
      </c>
      <c r="AG50" s="37">
        <f t="shared" si="3"/>
        <v>0</v>
      </c>
      <c r="AH50" s="37">
        <f t="shared" si="2"/>
        <v>0</v>
      </c>
      <c r="AI50" s="37" t="e">
        <f>IF(E50&gt;0,AG50/Calculations!$AB$10,"")</f>
        <v>#DIV/0!</v>
      </c>
      <c r="AJ50" s="75"/>
      <c r="AK50" s="75"/>
      <c r="AL50" s="75"/>
      <c r="AM50" s="75"/>
      <c r="AN50" s="75"/>
      <c r="AO50" s="75"/>
      <c r="AP50" s="75"/>
      <c r="AQ50" s="75"/>
      <c r="AR50" s="75"/>
      <c r="AS50" s="75"/>
    </row>
    <row r="51" spans="1:45" s="74" customFormat="1" ht="13.8" x14ac:dyDescent="0.3">
      <c r="A51" s="55" t="s">
        <v>42</v>
      </c>
      <c r="B51" s="196" t="str">
        <f>B25</f>
        <v>NGN</v>
      </c>
      <c r="C51" s="4"/>
      <c r="D51" s="47"/>
      <c r="E51" s="139">
        <f>C16</f>
        <v>25</v>
      </c>
      <c r="F51" s="200" t="str">
        <f>IF($C$16&gt;COUNT($E51:E51)*$E51,COUNT($E51:E51)*$E51,"")</f>
        <v/>
      </c>
      <c r="G51" s="13" t="str">
        <f>IF($C$16&gt;COUNT($E51:F51)*$E51,COUNT($E51:F51)*$E51,"")</f>
        <v/>
      </c>
      <c r="H51" s="13" t="str">
        <f>IF($C$16&gt;COUNT($E51:G51)*$E51,COUNT($E51:G51)*$E51,"")</f>
        <v/>
      </c>
      <c r="I51" s="13" t="str">
        <f>IF($C$16&gt;COUNT($E51:H51)*$E51,COUNT($E51:H51)*$E51,"")</f>
        <v/>
      </c>
      <c r="J51" s="13" t="str">
        <f>IF($C$16&gt;COUNT($E51:I51)*$E51,COUNT($E51:I51)*$E51,"")</f>
        <v/>
      </c>
      <c r="K51" s="199" t="str">
        <f>IF($C$16&gt;COUNT($E51:J51)*$E51,COUNT($E51:J51)*$E51,"")</f>
        <v/>
      </c>
      <c r="L51" s="13" t="str">
        <f t="shared" si="6"/>
        <v/>
      </c>
      <c r="M51" s="13" t="str">
        <f t="shared" si="6"/>
        <v/>
      </c>
      <c r="N51" s="13" t="str">
        <f t="shared" si="6"/>
        <v/>
      </c>
      <c r="O51" s="13" t="str">
        <f t="shared" si="6"/>
        <v/>
      </c>
      <c r="P51" s="13" t="str">
        <f t="shared" si="6"/>
        <v/>
      </c>
      <c r="Q51" s="13" t="str">
        <f t="shared" si="6"/>
        <v/>
      </c>
      <c r="R51" s="13" t="str">
        <f t="shared" si="6"/>
        <v/>
      </c>
      <c r="S51" s="13" t="str">
        <f t="shared" si="6"/>
        <v/>
      </c>
      <c r="T51" s="13" t="str">
        <f t="shared" si="6"/>
        <v/>
      </c>
      <c r="U51" s="13" t="str">
        <f t="shared" si="6"/>
        <v/>
      </c>
      <c r="V51" s="13" t="str">
        <f t="shared" si="7"/>
        <v/>
      </c>
      <c r="W51" s="13" t="str">
        <f t="shared" si="7"/>
        <v/>
      </c>
      <c r="X51" s="13" t="str">
        <f t="shared" si="7"/>
        <v/>
      </c>
      <c r="Y51" s="13" t="str">
        <f t="shared" si="7"/>
        <v/>
      </c>
      <c r="Z51" s="13" t="str">
        <f t="shared" si="7"/>
        <v/>
      </c>
      <c r="AA51" s="13" t="str">
        <f t="shared" si="7"/>
        <v/>
      </c>
      <c r="AB51" s="13" t="str">
        <f t="shared" si="7"/>
        <v/>
      </c>
      <c r="AC51" s="13" t="str">
        <f t="shared" si="7"/>
        <v/>
      </c>
      <c r="AD51" s="13" t="str">
        <f t="shared" si="7"/>
        <v/>
      </c>
      <c r="AE51" s="13" t="str">
        <f t="shared" si="7"/>
        <v/>
      </c>
      <c r="AF51" s="13" t="str">
        <f t="shared" si="7"/>
        <v/>
      </c>
      <c r="AG51" s="37">
        <f t="shared" si="3"/>
        <v>0</v>
      </c>
      <c r="AH51" s="37">
        <f t="shared" si="2"/>
        <v>0</v>
      </c>
      <c r="AI51" s="37" t="e">
        <f>IF(E51&gt;0,AG51/Calculations!$AB$10,"")</f>
        <v>#DIV/0!</v>
      </c>
      <c r="AJ51" s="75"/>
      <c r="AK51" s="75"/>
      <c r="AL51" s="75"/>
      <c r="AM51" s="75"/>
      <c r="AN51" s="75"/>
      <c r="AO51" s="75"/>
      <c r="AP51" s="75"/>
      <c r="AQ51" s="75"/>
      <c r="AR51" s="75"/>
      <c r="AS51" s="75"/>
    </row>
    <row r="52" spans="1:45" s="74" customFormat="1" ht="13.8" x14ac:dyDescent="0.3">
      <c r="A52" s="55" t="s">
        <v>35</v>
      </c>
      <c r="B52" s="196" t="str">
        <f>B25</f>
        <v>NGN</v>
      </c>
      <c r="C52" s="4"/>
      <c r="D52" s="47"/>
      <c r="E52" s="139">
        <f>C16</f>
        <v>25</v>
      </c>
      <c r="F52" s="200" t="str">
        <f>IF($C$16&gt;COUNT($E52:E52)*$E52,COUNT($E52:E52)*$E52,"")</f>
        <v/>
      </c>
      <c r="G52" s="13" t="str">
        <f>IF($C$16&gt;COUNT($E52:F52)*$E52,COUNT($E52:F52)*$E52,"")</f>
        <v/>
      </c>
      <c r="H52" s="13" t="str">
        <f>IF($C$16&gt;COUNT($E52:G52)*$E52,COUNT($E52:G52)*$E52,"")</f>
        <v/>
      </c>
      <c r="I52" s="13" t="str">
        <f>IF($C$16&gt;COUNT($E52:H52)*$E52,COUNT($E52:H52)*$E52,"")</f>
        <v/>
      </c>
      <c r="J52" s="13" t="str">
        <f>IF($C$16&gt;COUNT($E52:I52)*$E52,COUNT($E52:I52)*$E52,"")</f>
        <v/>
      </c>
      <c r="K52" s="199" t="str">
        <f>IF($C$16&gt;COUNT($E52:J52)*$E52,COUNT($E52:J52)*$E52,"")</f>
        <v/>
      </c>
      <c r="L52" s="13" t="str">
        <f t="shared" si="6"/>
        <v/>
      </c>
      <c r="M52" s="13" t="str">
        <f t="shared" si="6"/>
        <v/>
      </c>
      <c r="N52" s="13" t="str">
        <f t="shared" si="6"/>
        <v/>
      </c>
      <c r="O52" s="13" t="str">
        <f t="shared" si="6"/>
        <v/>
      </c>
      <c r="P52" s="13" t="str">
        <f t="shared" si="6"/>
        <v/>
      </c>
      <c r="Q52" s="13" t="str">
        <f t="shared" si="6"/>
        <v/>
      </c>
      <c r="R52" s="13" t="str">
        <f t="shared" si="6"/>
        <v/>
      </c>
      <c r="S52" s="13" t="str">
        <f t="shared" si="6"/>
        <v/>
      </c>
      <c r="T52" s="13" t="str">
        <f t="shared" si="6"/>
        <v/>
      </c>
      <c r="U52" s="13" t="str">
        <f t="shared" si="6"/>
        <v/>
      </c>
      <c r="V52" s="13" t="str">
        <f t="shared" si="7"/>
        <v/>
      </c>
      <c r="W52" s="13" t="str">
        <f t="shared" si="7"/>
        <v/>
      </c>
      <c r="X52" s="13" t="str">
        <f t="shared" si="7"/>
        <v/>
      </c>
      <c r="Y52" s="13" t="str">
        <f t="shared" si="7"/>
        <v/>
      </c>
      <c r="Z52" s="13" t="str">
        <f t="shared" si="7"/>
        <v/>
      </c>
      <c r="AA52" s="13" t="str">
        <f t="shared" si="7"/>
        <v/>
      </c>
      <c r="AB52" s="13" t="str">
        <f t="shared" si="7"/>
        <v/>
      </c>
      <c r="AC52" s="13" t="str">
        <f t="shared" si="7"/>
        <v/>
      </c>
      <c r="AD52" s="13" t="str">
        <f t="shared" si="7"/>
        <v/>
      </c>
      <c r="AE52" s="13" t="str">
        <f t="shared" si="7"/>
        <v/>
      </c>
      <c r="AF52" s="13" t="str">
        <f t="shared" si="7"/>
        <v/>
      </c>
      <c r="AG52" s="37">
        <f t="shared" si="3"/>
        <v>0</v>
      </c>
      <c r="AH52" s="37">
        <f t="shared" si="2"/>
        <v>0</v>
      </c>
      <c r="AI52" s="37" t="e">
        <f>IF(E52&gt;0,AG52/Calculations!$AB$10,"")</f>
        <v>#DIV/0!</v>
      </c>
      <c r="AJ52" s="75"/>
      <c r="AK52" s="75"/>
      <c r="AL52" s="75"/>
      <c r="AM52" s="75"/>
      <c r="AN52" s="75"/>
      <c r="AO52" s="75"/>
      <c r="AP52" s="75"/>
      <c r="AQ52" s="75"/>
      <c r="AR52" s="75"/>
      <c r="AS52" s="75"/>
    </row>
    <row r="53" spans="1:45" s="74" customFormat="1" ht="13.8" x14ac:dyDescent="0.3">
      <c r="A53" s="55" t="s">
        <v>10</v>
      </c>
      <c r="B53" s="196" t="str">
        <f>B25</f>
        <v>NGN</v>
      </c>
      <c r="C53" s="4"/>
      <c r="D53" s="47"/>
      <c r="E53" s="139">
        <f>C16</f>
        <v>25</v>
      </c>
      <c r="F53" s="200" t="str">
        <f>IF($C$16&gt;COUNT($E53:E53)*$E53,COUNT($E53:E53)*$E53,"")</f>
        <v/>
      </c>
      <c r="G53" s="13" t="str">
        <f>IF($C$16&gt;COUNT($E53:F53)*$E53,COUNT($E53:F53)*$E53,"")</f>
        <v/>
      </c>
      <c r="H53" s="13" t="str">
        <f>IF($C$16&gt;COUNT($E53:G53)*$E53,COUNT($E53:G53)*$E53,"")</f>
        <v/>
      </c>
      <c r="I53" s="13" t="str">
        <f>IF($C$16&gt;COUNT($E53:H53)*$E53,COUNT($E53:H53)*$E53,"")</f>
        <v/>
      </c>
      <c r="J53" s="13" t="str">
        <f>IF($C$16&gt;COUNT($E53:I53)*$E53,COUNT($E53:I53)*$E53,"")</f>
        <v/>
      </c>
      <c r="K53" s="199" t="str">
        <f>IF($C$16&gt;COUNT($E53:J53)*$E53,COUNT($E53:J53)*$E53,"")</f>
        <v/>
      </c>
      <c r="L53" s="13" t="str">
        <f t="shared" si="6"/>
        <v/>
      </c>
      <c r="M53" s="13" t="str">
        <f t="shared" si="6"/>
        <v/>
      </c>
      <c r="N53" s="13" t="str">
        <f t="shared" si="6"/>
        <v/>
      </c>
      <c r="O53" s="13" t="str">
        <f t="shared" si="6"/>
        <v/>
      </c>
      <c r="P53" s="13" t="str">
        <f t="shared" si="6"/>
        <v/>
      </c>
      <c r="Q53" s="13" t="str">
        <f t="shared" si="6"/>
        <v/>
      </c>
      <c r="R53" s="13" t="str">
        <f t="shared" si="6"/>
        <v/>
      </c>
      <c r="S53" s="13" t="str">
        <f t="shared" si="6"/>
        <v/>
      </c>
      <c r="T53" s="13" t="str">
        <f t="shared" si="6"/>
        <v/>
      </c>
      <c r="U53" s="13" t="str">
        <f t="shared" si="6"/>
        <v/>
      </c>
      <c r="V53" s="13" t="str">
        <f t="shared" si="7"/>
        <v/>
      </c>
      <c r="W53" s="13" t="str">
        <f t="shared" si="7"/>
        <v/>
      </c>
      <c r="X53" s="13" t="str">
        <f t="shared" si="7"/>
        <v/>
      </c>
      <c r="Y53" s="13" t="str">
        <f t="shared" si="7"/>
        <v/>
      </c>
      <c r="Z53" s="13" t="str">
        <f t="shared" si="7"/>
        <v/>
      </c>
      <c r="AA53" s="13" t="str">
        <f t="shared" si="7"/>
        <v/>
      </c>
      <c r="AB53" s="13" t="str">
        <f t="shared" si="7"/>
        <v/>
      </c>
      <c r="AC53" s="13" t="str">
        <f t="shared" si="7"/>
        <v/>
      </c>
      <c r="AD53" s="13" t="str">
        <f t="shared" si="7"/>
        <v/>
      </c>
      <c r="AE53" s="13" t="str">
        <f t="shared" si="7"/>
        <v/>
      </c>
      <c r="AF53" s="13" t="str">
        <f t="shared" si="7"/>
        <v/>
      </c>
      <c r="AG53" s="37">
        <f>IF(E53&gt;0,C53/E53*$C$16,C53)</f>
        <v>0</v>
      </c>
      <c r="AH53" s="37">
        <f t="shared" si="2"/>
        <v>0</v>
      </c>
      <c r="AI53" s="37" t="e">
        <f>IF(E53&gt;0,AG53/Calculations!$AB$10,"")</f>
        <v>#DIV/0!</v>
      </c>
      <c r="AJ53" s="75"/>
      <c r="AK53" s="75"/>
      <c r="AL53" s="75"/>
      <c r="AM53" s="75"/>
      <c r="AN53" s="75"/>
      <c r="AO53" s="75"/>
      <c r="AP53" s="75"/>
      <c r="AQ53" s="75"/>
      <c r="AR53" s="75"/>
      <c r="AS53" s="75"/>
    </row>
    <row r="54" spans="1:45" s="74" customFormat="1" ht="13.8" x14ac:dyDescent="0.3">
      <c r="A54" s="55" t="s">
        <v>235</v>
      </c>
      <c r="B54" s="196" t="str">
        <f>B25</f>
        <v>NGN</v>
      </c>
      <c r="C54" s="4"/>
      <c r="D54" s="47"/>
      <c r="E54" s="139">
        <f>C16</f>
        <v>25</v>
      </c>
      <c r="F54" s="200" t="str">
        <f>IF($C$16&gt;COUNT($E54:E54)*$E54,COUNT($E54:E54)*$E54,"")</f>
        <v/>
      </c>
      <c r="G54" s="13" t="str">
        <f>IF($C$16&gt;COUNT($E54:F54)*$E54,COUNT($E54:F54)*$E54,"")</f>
        <v/>
      </c>
      <c r="H54" s="13" t="str">
        <f>IF($C$16&gt;COUNT($E54:G54)*$E54,COUNT($E54:G54)*$E54,"")</f>
        <v/>
      </c>
      <c r="I54" s="13" t="str">
        <f>IF($C$16&gt;COUNT($E54:H54)*$E54,COUNT($E54:H54)*$E54,"")</f>
        <v/>
      </c>
      <c r="J54" s="13" t="str">
        <f>IF($C$16&gt;COUNT($E54:I54)*$E54,COUNT($E54:I54)*$E54,"")</f>
        <v/>
      </c>
      <c r="K54" s="199" t="str">
        <f>IF($C$16&gt;COUNT($E54:J54)*$E54,COUNT($E54:J54)*$E54,"")</f>
        <v/>
      </c>
      <c r="L54" s="13" t="str">
        <f t="shared" ref="L54:U63" si="8">IF(L$23=0,"",IF($F54=L$23,$C54,IF($G54=L$23,$C54,IF($H54=L$23,$C54,IF($I54=L$23,$C54,IF($J54=L$23,$C54,IF($K54=L$23,$C54,"")))))))</f>
        <v/>
      </c>
      <c r="M54" s="13" t="str">
        <f t="shared" si="8"/>
        <v/>
      </c>
      <c r="N54" s="13" t="str">
        <f t="shared" si="8"/>
        <v/>
      </c>
      <c r="O54" s="13" t="str">
        <f t="shared" si="8"/>
        <v/>
      </c>
      <c r="P54" s="13" t="str">
        <f t="shared" si="8"/>
        <v/>
      </c>
      <c r="Q54" s="13" t="str">
        <f t="shared" si="8"/>
        <v/>
      </c>
      <c r="R54" s="13" t="str">
        <f t="shared" si="8"/>
        <v/>
      </c>
      <c r="S54" s="13" t="str">
        <f t="shared" si="8"/>
        <v/>
      </c>
      <c r="T54" s="13" t="str">
        <f t="shared" si="8"/>
        <v/>
      </c>
      <c r="U54" s="13" t="str">
        <f t="shared" si="8"/>
        <v/>
      </c>
      <c r="V54" s="13" t="str">
        <f t="shared" ref="V54:AF63" si="9">IF(V$23=0,"",IF($F54=V$23,$C54,IF($G54=V$23,$C54,IF($H54=V$23,$C54,IF($I54=V$23,$C54,IF($J54=V$23,$C54,IF($K54=V$23,$C54,"")))))))</f>
        <v/>
      </c>
      <c r="W54" s="13" t="str">
        <f t="shared" si="9"/>
        <v/>
      </c>
      <c r="X54" s="13" t="str">
        <f t="shared" si="9"/>
        <v/>
      </c>
      <c r="Y54" s="13" t="str">
        <f t="shared" si="9"/>
        <v/>
      </c>
      <c r="Z54" s="13" t="str">
        <f t="shared" si="9"/>
        <v/>
      </c>
      <c r="AA54" s="13" t="str">
        <f t="shared" si="9"/>
        <v/>
      </c>
      <c r="AB54" s="13" t="str">
        <f t="shared" si="9"/>
        <v/>
      </c>
      <c r="AC54" s="13" t="str">
        <f t="shared" si="9"/>
        <v/>
      </c>
      <c r="AD54" s="13" t="str">
        <f t="shared" si="9"/>
        <v/>
      </c>
      <c r="AE54" s="13" t="str">
        <f t="shared" si="9"/>
        <v/>
      </c>
      <c r="AF54" s="13" t="str">
        <f t="shared" si="9"/>
        <v/>
      </c>
      <c r="AG54" s="37">
        <f t="shared" si="3"/>
        <v>0</v>
      </c>
      <c r="AH54" s="37">
        <f t="shared" si="2"/>
        <v>0</v>
      </c>
      <c r="AI54" s="37" t="e">
        <f>IF(E54&gt;0,AG54/Calculations!$AB$10,"")</f>
        <v>#DIV/0!</v>
      </c>
      <c r="AJ54" s="75"/>
      <c r="AK54" s="75"/>
      <c r="AL54" s="75"/>
      <c r="AM54" s="75"/>
      <c r="AN54" s="75"/>
      <c r="AO54" s="75"/>
      <c r="AP54" s="75"/>
      <c r="AQ54" s="75"/>
      <c r="AR54" s="75"/>
      <c r="AS54" s="75"/>
    </row>
    <row r="55" spans="1:45" s="74" customFormat="1" ht="13.8" x14ac:dyDescent="0.3">
      <c r="A55" s="55" t="s">
        <v>234</v>
      </c>
      <c r="B55" s="196" t="str">
        <f>B26</f>
        <v>NGN</v>
      </c>
      <c r="C55" s="4"/>
      <c r="D55" s="47"/>
      <c r="E55" s="139">
        <f>C16</f>
        <v>25</v>
      </c>
      <c r="F55" s="200" t="str">
        <f>IF($C$16&gt;COUNT($E55:E55)*$E55,COUNT($E55:E55)*$E55,"")</f>
        <v/>
      </c>
      <c r="G55" s="13" t="str">
        <f>IF($C$16&gt;COUNT($E55:F55)*$E55,COUNT($E55:F55)*$E55,"")</f>
        <v/>
      </c>
      <c r="H55" s="13" t="str">
        <f>IF($C$16&gt;COUNT($E55:G55)*$E55,COUNT($E55:G55)*$E55,"")</f>
        <v/>
      </c>
      <c r="I55" s="13" t="str">
        <f>IF($C$16&gt;COUNT($E55:H55)*$E55,COUNT($E55:H55)*$E55,"")</f>
        <v/>
      </c>
      <c r="J55" s="13" t="str">
        <f>IF($C$16&gt;COUNT($E55:I55)*$E55,COUNT($E55:I55)*$E55,"")</f>
        <v/>
      </c>
      <c r="K55" s="199" t="str">
        <f>IF($C$16&gt;COUNT($E55:J55)*$E55,COUNT($E55:J55)*$E55,"")</f>
        <v/>
      </c>
      <c r="L55" s="13" t="str">
        <f t="shared" si="8"/>
        <v/>
      </c>
      <c r="M55" s="13" t="str">
        <f t="shared" si="8"/>
        <v/>
      </c>
      <c r="N55" s="13" t="str">
        <f t="shared" si="8"/>
        <v/>
      </c>
      <c r="O55" s="13" t="str">
        <f t="shared" si="8"/>
        <v/>
      </c>
      <c r="P55" s="13" t="str">
        <f t="shared" si="8"/>
        <v/>
      </c>
      <c r="Q55" s="13" t="str">
        <f t="shared" si="8"/>
        <v/>
      </c>
      <c r="R55" s="13" t="str">
        <f t="shared" si="8"/>
        <v/>
      </c>
      <c r="S55" s="13" t="str">
        <f t="shared" si="8"/>
        <v/>
      </c>
      <c r="T55" s="13" t="str">
        <f t="shared" si="8"/>
        <v/>
      </c>
      <c r="U55" s="13" t="str">
        <f t="shared" si="8"/>
        <v/>
      </c>
      <c r="V55" s="13" t="str">
        <f t="shared" si="9"/>
        <v/>
      </c>
      <c r="W55" s="13" t="str">
        <f t="shared" si="9"/>
        <v/>
      </c>
      <c r="X55" s="13" t="str">
        <f t="shared" si="9"/>
        <v/>
      </c>
      <c r="Y55" s="13" t="str">
        <f t="shared" si="9"/>
        <v/>
      </c>
      <c r="Z55" s="13" t="str">
        <f t="shared" si="9"/>
        <v/>
      </c>
      <c r="AA55" s="13" t="str">
        <f t="shared" si="9"/>
        <v/>
      </c>
      <c r="AB55" s="13" t="str">
        <f t="shared" si="9"/>
        <v/>
      </c>
      <c r="AC55" s="13" t="str">
        <f t="shared" si="9"/>
        <v/>
      </c>
      <c r="AD55" s="13" t="str">
        <f t="shared" si="9"/>
        <v/>
      </c>
      <c r="AE55" s="13" t="str">
        <f t="shared" si="9"/>
        <v/>
      </c>
      <c r="AF55" s="13" t="str">
        <f t="shared" si="9"/>
        <v/>
      </c>
      <c r="AG55" s="37">
        <f t="shared" si="3"/>
        <v>0</v>
      </c>
      <c r="AH55" s="37">
        <f t="shared" si="2"/>
        <v>0</v>
      </c>
      <c r="AI55" s="37" t="e">
        <f>IF(E55&gt;0,AG55/Calculations!$AB$10,"")</f>
        <v>#DIV/0!</v>
      </c>
      <c r="AJ55" s="75"/>
      <c r="AK55" s="75"/>
      <c r="AL55" s="75"/>
      <c r="AM55" s="75"/>
      <c r="AN55" s="75"/>
      <c r="AO55" s="75"/>
      <c r="AP55" s="75"/>
      <c r="AQ55" s="75"/>
      <c r="AR55" s="75"/>
      <c r="AS55" s="75"/>
    </row>
    <row r="56" spans="1:45" s="74" customFormat="1" ht="13.8" x14ac:dyDescent="0.3">
      <c r="A56" s="55" t="s">
        <v>40</v>
      </c>
      <c r="B56" s="196" t="str">
        <f>B25</f>
        <v>NGN</v>
      </c>
      <c r="C56" s="4"/>
      <c r="D56" s="47"/>
      <c r="E56" s="139">
        <f>C16</f>
        <v>25</v>
      </c>
      <c r="F56" s="200" t="str">
        <f>IF($C$16&gt;COUNT($E56:E56)*$E56,COUNT($E56:E56)*$E56,"")</f>
        <v/>
      </c>
      <c r="G56" s="13" t="str">
        <f>IF($C$16&gt;COUNT($E56:F56)*$E56,COUNT($E56:F56)*$E56,"")</f>
        <v/>
      </c>
      <c r="H56" s="13" t="str">
        <f>IF($C$16&gt;COUNT($E56:G56)*$E56,COUNT($E56:G56)*$E56,"")</f>
        <v/>
      </c>
      <c r="I56" s="13" t="str">
        <f>IF($C$16&gt;COUNT($E56:H56)*$E56,COUNT($E56:H56)*$E56,"")</f>
        <v/>
      </c>
      <c r="J56" s="13" t="str">
        <f>IF($C$16&gt;COUNT($E56:I56)*$E56,COUNT($E56:I56)*$E56,"")</f>
        <v/>
      </c>
      <c r="K56" s="199" t="str">
        <f>IF($C$16&gt;COUNT($E56:J56)*$E56,COUNT($E56:J56)*$E56,"")</f>
        <v/>
      </c>
      <c r="L56" s="13" t="str">
        <f t="shared" si="8"/>
        <v/>
      </c>
      <c r="M56" s="13" t="str">
        <f t="shared" si="8"/>
        <v/>
      </c>
      <c r="N56" s="13" t="str">
        <f t="shared" si="8"/>
        <v/>
      </c>
      <c r="O56" s="13" t="str">
        <f t="shared" si="8"/>
        <v/>
      </c>
      <c r="P56" s="13" t="str">
        <f t="shared" si="8"/>
        <v/>
      </c>
      <c r="Q56" s="13" t="str">
        <f t="shared" si="8"/>
        <v/>
      </c>
      <c r="R56" s="13" t="str">
        <f t="shared" si="8"/>
        <v/>
      </c>
      <c r="S56" s="13" t="str">
        <f t="shared" si="8"/>
        <v/>
      </c>
      <c r="T56" s="13" t="str">
        <f t="shared" si="8"/>
        <v/>
      </c>
      <c r="U56" s="13" t="str">
        <f t="shared" si="8"/>
        <v/>
      </c>
      <c r="V56" s="13" t="str">
        <f t="shared" si="9"/>
        <v/>
      </c>
      <c r="W56" s="13" t="str">
        <f t="shared" si="9"/>
        <v/>
      </c>
      <c r="X56" s="13" t="str">
        <f t="shared" si="9"/>
        <v/>
      </c>
      <c r="Y56" s="13" t="str">
        <f t="shared" si="9"/>
        <v/>
      </c>
      <c r="Z56" s="13" t="str">
        <f t="shared" si="9"/>
        <v/>
      </c>
      <c r="AA56" s="13" t="str">
        <f t="shared" si="9"/>
        <v/>
      </c>
      <c r="AB56" s="13" t="str">
        <f t="shared" si="9"/>
        <v/>
      </c>
      <c r="AC56" s="13" t="str">
        <f t="shared" si="9"/>
        <v/>
      </c>
      <c r="AD56" s="13" t="str">
        <f t="shared" si="9"/>
        <v/>
      </c>
      <c r="AE56" s="13" t="str">
        <f t="shared" si="9"/>
        <v/>
      </c>
      <c r="AF56" s="13" t="str">
        <f t="shared" si="9"/>
        <v/>
      </c>
      <c r="AG56" s="37">
        <f t="shared" si="3"/>
        <v>0</v>
      </c>
      <c r="AH56" s="37">
        <f t="shared" ref="AH56:AH87" si="10">IF(E56&gt;0,AG56/$C$16,"")</f>
        <v>0</v>
      </c>
      <c r="AI56" s="37" t="e">
        <f>IF(E56&gt;0,AG56/Calculations!$AB$10,"")</f>
        <v>#DIV/0!</v>
      </c>
      <c r="AJ56" s="75"/>
      <c r="AK56" s="75"/>
      <c r="AL56" s="75"/>
      <c r="AM56" s="75"/>
      <c r="AN56" s="75"/>
      <c r="AO56" s="75"/>
      <c r="AP56" s="75"/>
      <c r="AQ56" s="75"/>
      <c r="AR56" s="75"/>
      <c r="AS56" s="75"/>
    </row>
    <row r="57" spans="1:45" s="74" customFormat="1" ht="13.8" x14ac:dyDescent="0.3">
      <c r="A57" s="55" t="s">
        <v>9</v>
      </c>
      <c r="B57" s="196" t="str">
        <f>B25</f>
        <v>NGN</v>
      </c>
      <c r="C57" s="4"/>
      <c r="D57" s="47"/>
      <c r="E57" s="139">
        <f>C16</f>
        <v>25</v>
      </c>
      <c r="F57" s="200" t="str">
        <f>IF($C$16&gt;COUNT($E57:E57)*$E57,COUNT($E57:E57)*$E57,"")</f>
        <v/>
      </c>
      <c r="G57" s="13" t="str">
        <f>IF($C$16&gt;COUNT($E57:F57)*$E57,COUNT($E57:F57)*$E57,"")</f>
        <v/>
      </c>
      <c r="H57" s="13" t="str">
        <f>IF($C$16&gt;COUNT($E57:G57)*$E57,COUNT($E57:G57)*$E57,"")</f>
        <v/>
      </c>
      <c r="I57" s="13" t="str">
        <f>IF($C$16&gt;COUNT($E57:H57)*$E57,COUNT($E57:H57)*$E57,"")</f>
        <v/>
      </c>
      <c r="J57" s="13" t="str">
        <f>IF($C$16&gt;COUNT($E57:I57)*$E57,COUNT($E57:I57)*$E57,"")</f>
        <v/>
      </c>
      <c r="K57" s="199" t="str">
        <f>IF($C$16&gt;COUNT($E57:J57)*$E57,COUNT($E57:J57)*$E57,"")</f>
        <v/>
      </c>
      <c r="L57" s="13" t="str">
        <f t="shared" si="8"/>
        <v/>
      </c>
      <c r="M57" s="13" t="str">
        <f t="shared" si="8"/>
        <v/>
      </c>
      <c r="N57" s="13" t="str">
        <f t="shared" si="8"/>
        <v/>
      </c>
      <c r="O57" s="13" t="str">
        <f t="shared" si="8"/>
        <v/>
      </c>
      <c r="P57" s="13" t="str">
        <f t="shared" si="8"/>
        <v/>
      </c>
      <c r="Q57" s="13" t="str">
        <f t="shared" si="8"/>
        <v/>
      </c>
      <c r="R57" s="13" t="str">
        <f t="shared" si="8"/>
        <v/>
      </c>
      <c r="S57" s="13" t="str">
        <f t="shared" si="8"/>
        <v/>
      </c>
      <c r="T57" s="13" t="str">
        <f t="shared" si="8"/>
        <v/>
      </c>
      <c r="U57" s="13" t="str">
        <f t="shared" si="8"/>
        <v/>
      </c>
      <c r="V57" s="13" t="str">
        <f t="shared" si="9"/>
        <v/>
      </c>
      <c r="W57" s="13" t="str">
        <f t="shared" si="9"/>
        <v/>
      </c>
      <c r="X57" s="13" t="str">
        <f t="shared" si="9"/>
        <v/>
      </c>
      <c r="Y57" s="13" t="str">
        <f t="shared" si="9"/>
        <v/>
      </c>
      <c r="Z57" s="13" t="str">
        <f t="shared" si="9"/>
        <v/>
      </c>
      <c r="AA57" s="13" t="str">
        <f t="shared" si="9"/>
        <v/>
      </c>
      <c r="AB57" s="13" t="str">
        <f t="shared" si="9"/>
        <v/>
      </c>
      <c r="AC57" s="13" t="str">
        <f t="shared" si="9"/>
        <v/>
      </c>
      <c r="AD57" s="13" t="str">
        <f t="shared" si="9"/>
        <v/>
      </c>
      <c r="AE57" s="13" t="str">
        <f t="shared" si="9"/>
        <v/>
      </c>
      <c r="AF57" s="13" t="str">
        <f t="shared" si="9"/>
        <v/>
      </c>
      <c r="AG57" s="37">
        <f t="shared" si="3"/>
        <v>0</v>
      </c>
      <c r="AH57" s="37">
        <f t="shared" si="10"/>
        <v>0</v>
      </c>
      <c r="AI57" s="37" t="e">
        <f>IF(E57&gt;0,AG57/Calculations!$AB$10,"")</f>
        <v>#DIV/0!</v>
      </c>
      <c r="AJ57" s="75"/>
      <c r="AK57" s="75"/>
      <c r="AL57" s="75"/>
      <c r="AM57" s="75"/>
      <c r="AN57" s="75"/>
      <c r="AO57" s="75"/>
      <c r="AP57" s="75"/>
      <c r="AQ57" s="75"/>
      <c r="AR57" s="75"/>
      <c r="AS57" s="75"/>
    </row>
    <row r="58" spans="1:45" s="74" customFormat="1" ht="13.8" x14ac:dyDescent="0.3">
      <c r="A58" s="55" t="s">
        <v>37</v>
      </c>
      <c r="B58" s="196" t="str">
        <f>B25</f>
        <v>NGN</v>
      </c>
      <c r="C58" s="4"/>
      <c r="D58" s="47"/>
      <c r="E58" s="139">
        <f>C16</f>
        <v>25</v>
      </c>
      <c r="F58" s="200" t="str">
        <f>IF($C$16&gt;COUNT($E58:E58)*$E58,COUNT($E58:E58)*$E58,"")</f>
        <v/>
      </c>
      <c r="G58" s="13" t="str">
        <f>IF($C$16&gt;COUNT($E58:F58)*$E58,COUNT($E58:F58)*$E58,"")</f>
        <v/>
      </c>
      <c r="H58" s="13" t="str">
        <f>IF($C$16&gt;COUNT($E58:G58)*$E58,COUNT($E58:G58)*$E58,"")</f>
        <v/>
      </c>
      <c r="I58" s="13" t="str">
        <f>IF($C$16&gt;COUNT($E58:H58)*$E58,COUNT($E58:H58)*$E58,"")</f>
        <v/>
      </c>
      <c r="J58" s="13" t="str">
        <f>IF($C$16&gt;COUNT($E58:I58)*$E58,COUNT($E58:I58)*$E58,"")</f>
        <v/>
      </c>
      <c r="K58" s="199" t="str">
        <f>IF($C$16&gt;COUNT($E58:J58)*$E58,COUNT($E58:J58)*$E58,"")</f>
        <v/>
      </c>
      <c r="L58" s="13" t="str">
        <f t="shared" si="8"/>
        <v/>
      </c>
      <c r="M58" s="13" t="str">
        <f t="shared" si="8"/>
        <v/>
      </c>
      <c r="N58" s="13" t="str">
        <f t="shared" si="8"/>
        <v/>
      </c>
      <c r="O58" s="13" t="str">
        <f t="shared" si="8"/>
        <v/>
      </c>
      <c r="P58" s="13" t="str">
        <f t="shared" si="8"/>
        <v/>
      </c>
      <c r="Q58" s="13" t="str">
        <f t="shared" si="8"/>
        <v/>
      </c>
      <c r="R58" s="13" t="str">
        <f t="shared" si="8"/>
        <v/>
      </c>
      <c r="S58" s="13" t="str">
        <f t="shared" si="8"/>
        <v/>
      </c>
      <c r="T58" s="13" t="str">
        <f t="shared" si="8"/>
        <v/>
      </c>
      <c r="U58" s="13" t="str">
        <f t="shared" si="8"/>
        <v/>
      </c>
      <c r="V58" s="13" t="str">
        <f t="shared" si="9"/>
        <v/>
      </c>
      <c r="W58" s="13" t="str">
        <f t="shared" si="9"/>
        <v/>
      </c>
      <c r="X58" s="13" t="str">
        <f t="shared" si="9"/>
        <v/>
      </c>
      <c r="Y58" s="13" t="str">
        <f t="shared" si="9"/>
        <v/>
      </c>
      <c r="Z58" s="13" t="str">
        <f t="shared" si="9"/>
        <v/>
      </c>
      <c r="AA58" s="13" t="str">
        <f t="shared" si="9"/>
        <v/>
      </c>
      <c r="AB58" s="13" t="str">
        <f t="shared" si="9"/>
        <v/>
      </c>
      <c r="AC58" s="13" t="str">
        <f t="shared" si="9"/>
        <v/>
      </c>
      <c r="AD58" s="13" t="str">
        <f t="shared" si="9"/>
        <v/>
      </c>
      <c r="AE58" s="13" t="str">
        <f t="shared" si="9"/>
        <v/>
      </c>
      <c r="AF58" s="13" t="str">
        <f t="shared" si="9"/>
        <v/>
      </c>
      <c r="AG58" s="37">
        <f t="shared" si="3"/>
        <v>0</v>
      </c>
      <c r="AH58" s="37">
        <f t="shared" si="10"/>
        <v>0</v>
      </c>
      <c r="AI58" s="37" t="e">
        <f>IF(E58&gt;0,AG58/Calculations!$AB$10,"")</f>
        <v>#DIV/0!</v>
      </c>
      <c r="AJ58" s="75"/>
      <c r="AK58" s="75"/>
      <c r="AL58" s="75"/>
      <c r="AM58" s="75"/>
      <c r="AN58" s="75"/>
      <c r="AO58" s="75"/>
      <c r="AP58" s="75"/>
      <c r="AQ58" s="75"/>
      <c r="AR58" s="75"/>
      <c r="AS58" s="75"/>
    </row>
    <row r="59" spans="1:45" s="74" customFormat="1" ht="13.8" x14ac:dyDescent="0.3">
      <c r="A59" s="55" t="s">
        <v>11</v>
      </c>
      <c r="B59" s="196" t="str">
        <f>B25</f>
        <v>NGN</v>
      </c>
      <c r="C59" s="4"/>
      <c r="D59" s="47"/>
      <c r="E59" s="139">
        <f>C16</f>
        <v>25</v>
      </c>
      <c r="F59" s="200" t="str">
        <f>IF($C$16&gt;COUNT($E59:E59)*$E59,COUNT($E59:E59)*$E59,"")</f>
        <v/>
      </c>
      <c r="G59" s="13" t="str">
        <f>IF($C$16&gt;COUNT($E59:F59)*$E59,COUNT($E59:F59)*$E59,"")</f>
        <v/>
      </c>
      <c r="H59" s="13" t="str">
        <f>IF($C$16&gt;COUNT($E59:G59)*$E59,COUNT($E59:G59)*$E59,"")</f>
        <v/>
      </c>
      <c r="I59" s="13" t="str">
        <f>IF($C$16&gt;COUNT($E59:H59)*$E59,COUNT($E59:H59)*$E59,"")</f>
        <v/>
      </c>
      <c r="J59" s="13" t="str">
        <f>IF($C$16&gt;COUNT($E59:I59)*$E59,COUNT($E59:I59)*$E59,"")</f>
        <v/>
      </c>
      <c r="K59" s="199" t="str">
        <f>IF($C$16&gt;COUNT($E59:J59)*$E59,COUNT($E59:J59)*$E59,"")</f>
        <v/>
      </c>
      <c r="L59" s="13" t="str">
        <f t="shared" si="8"/>
        <v/>
      </c>
      <c r="M59" s="13" t="str">
        <f t="shared" si="8"/>
        <v/>
      </c>
      <c r="N59" s="13" t="str">
        <f t="shared" si="8"/>
        <v/>
      </c>
      <c r="O59" s="13" t="str">
        <f t="shared" si="8"/>
        <v/>
      </c>
      <c r="P59" s="13" t="str">
        <f t="shared" si="8"/>
        <v/>
      </c>
      <c r="Q59" s="13" t="str">
        <f t="shared" si="8"/>
        <v/>
      </c>
      <c r="R59" s="13" t="str">
        <f t="shared" si="8"/>
        <v/>
      </c>
      <c r="S59" s="13" t="str">
        <f t="shared" si="8"/>
        <v/>
      </c>
      <c r="T59" s="13" t="str">
        <f t="shared" si="8"/>
        <v/>
      </c>
      <c r="U59" s="13" t="str">
        <f t="shared" si="8"/>
        <v/>
      </c>
      <c r="V59" s="13" t="str">
        <f t="shared" si="9"/>
        <v/>
      </c>
      <c r="W59" s="13" t="str">
        <f t="shared" si="9"/>
        <v/>
      </c>
      <c r="X59" s="13" t="str">
        <f t="shared" si="9"/>
        <v/>
      </c>
      <c r="Y59" s="13" t="str">
        <f t="shared" si="9"/>
        <v/>
      </c>
      <c r="Z59" s="13" t="str">
        <f t="shared" si="9"/>
        <v/>
      </c>
      <c r="AA59" s="13" t="str">
        <f t="shared" si="9"/>
        <v/>
      </c>
      <c r="AB59" s="13" t="str">
        <f t="shared" si="9"/>
        <v/>
      </c>
      <c r="AC59" s="13" t="str">
        <f t="shared" si="9"/>
        <v/>
      </c>
      <c r="AD59" s="13" t="str">
        <f t="shared" si="9"/>
        <v/>
      </c>
      <c r="AE59" s="13" t="str">
        <f t="shared" si="9"/>
        <v/>
      </c>
      <c r="AF59" s="13" t="str">
        <f t="shared" si="9"/>
        <v/>
      </c>
      <c r="AG59" s="37">
        <f t="shared" si="3"/>
        <v>0</v>
      </c>
      <c r="AH59" s="37">
        <f t="shared" si="10"/>
        <v>0</v>
      </c>
      <c r="AI59" s="37" t="e">
        <f>IF(E59&gt;0,AG59/Calculations!$AB$10,"")</f>
        <v>#DIV/0!</v>
      </c>
      <c r="AJ59" s="75"/>
      <c r="AK59" s="75"/>
      <c r="AL59" s="75"/>
      <c r="AM59" s="75"/>
      <c r="AN59" s="75"/>
      <c r="AO59" s="75"/>
      <c r="AP59" s="75"/>
      <c r="AQ59" s="75"/>
      <c r="AR59" s="75"/>
      <c r="AS59" s="75"/>
    </row>
    <row r="60" spans="1:45" s="74" customFormat="1" ht="13.8" x14ac:dyDescent="0.3">
      <c r="A60" s="55"/>
      <c r="B60" s="196" t="str">
        <f>B25</f>
        <v>NGN</v>
      </c>
      <c r="C60" s="4"/>
      <c r="D60" s="47"/>
      <c r="E60" s="139">
        <f>C16</f>
        <v>25</v>
      </c>
      <c r="F60" s="200" t="str">
        <f>IF($C$16&gt;COUNT($E60:E60)*$E60,COUNT($E60:E60)*$E60,"")</f>
        <v/>
      </c>
      <c r="G60" s="13" t="str">
        <f>IF($C$16&gt;COUNT($E60:F60)*$E60,COUNT($E60:F60)*$E60,"")</f>
        <v/>
      </c>
      <c r="H60" s="13" t="str">
        <f>IF($C$16&gt;COUNT($E60:G60)*$E60,COUNT($E60:G60)*$E60,"")</f>
        <v/>
      </c>
      <c r="I60" s="13" t="str">
        <f>IF($C$16&gt;COUNT($E60:H60)*$E60,COUNT($E60:H60)*$E60,"")</f>
        <v/>
      </c>
      <c r="J60" s="13" t="str">
        <f>IF($C$16&gt;COUNT($E60:I60)*$E60,COUNT($E60:I60)*$E60,"")</f>
        <v/>
      </c>
      <c r="K60" s="199" t="str">
        <f>IF($C$16&gt;COUNT($E60:J60)*$E60,COUNT($E60:J60)*$E60,"")</f>
        <v/>
      </c>
      <c r="L60" s="13" t="str">
        <f t="shared" si="8"/>
        <v/>
      </c>
      <c r="M60" s="13" t="str">
        <f t="shared" si="8"/>
        <v/>
      </c>
      <c r="N60" s="13" t="str">
        <f t="shared" si="8"/>
        <v/>
      </c>
      <c r="O60" s="13" t="str">
        <f t="shared" si="8"/>
        <v/>
      </c>
      <c r="P60" s="13" t="str">
        <f t="shared" si="8"/>
        <v/>
      </c>
      <c r="Q60" s="13" t="str">
        <f t="shared" si="8"/>
        <v/>
      </c>
      <c r="R60" s="13" t="str">
        <f t="shared" si="8"/>
        <v/>
      </c>
      <c r="S60" s="13" t="str">
        <f t="shared" si="8"/>
        <v/>
      </c>
      <c r="T60" s="13" t="str">
        <f t="shared" si="8"/>
        <v/>
      </c>
      <c r="U60" s="13" t="str">
        <f t="shared" si="8"/>
        <v/>
      </c>
      <c r="V60" s="13" t="str">
        <f t="shared" si="9"/>
        <v/>
      </c>
      <c r="W60" s="13" t="str">
        <f t="shared" si="9"/>
        <v/>
      </c>
      <c r="X60" s="13" t="str">
        <f t="shared" si="9"/>
        <v/>
      </c>
      <c r="Y60" s="13" t="str">
        <f t="shared" si="9"/>
        <v/>
      </c>
      <c r="Z60" s="13" t="str">
        <f t="shared" si="9"/>
        <v/>
      </c>
      <c r="AA60" s="13" t="str">
        <f t="shared" si="9"/>
        <v/>
      </c>
      <c r="AB60" s="13" t="str">
        <f t="shared" si="9"/>
        <v/>
      </c>
      <c r="AC60" s="13" t="str">
        <f t="shared" si="9"/>
        <v/>
      </c>
      <c r="AD60" s="13" t="str">
        <f t="shared" si="9"/>
        <v/>
      </c>
      <c r="AE60" s="13" t="str">
        <f t="shared" si="9"/>
        <v/>
      </c>
      <c r="AF60" s="13" t="str">
        <f t="shared" si="9"/>
        <v/>
      </c>
      <c r="AG60" s="37">
        <f t="shared" si="3"/>
        <v>0</v>
      </c>
      <c r="AH60" s="37">
        <f t="shared" si="10"/>
        <v>0</v>
      </c>
      <c r="AI60" s="37" t="e">
        <f>IF(E60&gt;0,AG60/Calculations!$AB$10,"")</f>
        <v>#DIV/0!</v>
      </c>
      <c r="AJ60" s="75"/>
      <c r="AK60" s="75"/>
      <c r="AL60" s="75"/>
      <c r="AM60" s="75"/>
      <c r="AN60" s="75"/>
      <c r="AO60" s="75"/>
      <c r="AP60" s="75"/>
      <c r="AQ60" s="75"/>
      <c r="AR60" s="75"/>
      <c r="AS60" s="75"/>
    </row>
    <row r="61" spans="1:45" s="74" customFormat="1" ht="13.8" x14ac:dyDescent="0.3">
      <c r="A61" s="55"/>
      <c r="B61" s="196" t="str">
        <f>B25</f>
        <v>NGN</v>
      </c>
      <c r="C61" s="4"/>
      <c r="D61" s="47"/>
      <c r="E61" s="139">
        <f>C16</f>
        <v>25</v>
      </c>
      <c r="F61" s="200" t="str">
        <f>IF($C$16&gt;COUNT($E61:E61)*$E61,COUNT($E61:E61)*$E61,"")</f>
        <v/>
      </c>
      <c r="G61" s="13" t="str">
        <f>IF($C$16&gt;COUNT($E61:F61)*$E61,COUNT($E61:F61)*$E61,"")</f>
        <v/>
      </c>
      <c r="H61" s="13" t="str">
        <f>IF($C$16&gt;COUNT($E61:G61)*$E61,COUNT($E61:G61)*$E61,"")</f>
        <v/>
      </c>
      <c r="I61" s="13" t="str">
        <f>IF($C$16&gt;COUNT($E61:H61)*$E61,COUNT($E61:H61)*$E61,"")</f>
        <v/>
      </c>
      <c r="J61" s="13" t="str">
        <f>IF($C$16&gt;COUNT($E61:I61)*$E61,COUNT($E61:I61)*$E61,"")</f>
        <v/>
      </c>
      <c r="K61" s="199" t="str">
        <f>IF($C$16&gt;COUNT($E61:J61)*$E61,COUNT($E61:J61)*$E61,"")</f>
        <v/>
      </c>
      <c r="L61" s="13" t="str">
        <f t="shared" si="8"/>
        <v/>
      </c>
      <c r="M61" s="13" t="str">
        <f t="shared" si="8"/>
        <v/>
      </c>
      <c r="N61" s="13" t="str">
        <f t="shared" si="8"/>
        <v/>
      </c>
      <c r="O61" s="13" t="str">
        <f t="shared" si="8"/>
        <v/>
      </c>
      <c r="P61" s="13" t="str">
        <f t="shared" si="8"/>
        <v/>
      </c>
      <c r="Q61" s="13" t="str">
        <f t="shared" si="8"/>
        <v/>
      </c>
      <c r="R61" s="13" t="str">
        <f t="shared" si="8"/>
        <v/>
      </c>
      <c r="S61" s="13" t="str">
        <f t="shared" si="8"/>
        <v/>
      </c>
      <c r="T61" s="13" t="str">
        <f t="shared" si="8"/>
        <v/>
      </c>
      <c r="U61" s="13" t="str">
        <f t="shared" si="8"/>
        <v/>
      </c>
      <c r="V61" s="13" t="str">
        <f t="shared" si="9"/>
        <v/>
      </c>
      <c r="W61" s="13" t="str">
        <f t="shared" si="9"/>
        <v/>
      </c>
      <c r="X61" s="13" t="str">
        <f t="shared" si="9"/>
        <v/>
      </c>
      <c r="Y61" s="13" t="str">
        <f t="shared" si="9"/>
        <v/>
      </c>
      <c r="Z61" s="13" t="str">
        <f t="shared" si="9"/>
        <v/>
      </c>
      <c r="AA61" s="13" t="str">
        <f t="shared" si="9"/>
        <v/>
      </c>
      <c r="AB61" s="13" t="str">
        <f t="shared" si="9"/>
        <v/>
      </c>
      <c r="AC61" s="13" t="str">
        <f t="shared" si="9"/>
        <v/>
      </c>
      <c r="AD61" s="13" t="str">
        <f t="shared" si="9"/>
        <v/>
      </c>
      <c r="AE61" s="13" t="str">
        <f t="shared" si="9"/>
        <v/>
      </c>
      <c r="AF61" s="13" t="str">
        <f t="shared" si="9"/>
        <v/>
      </c>
      <c r="AG61" s="37">
        <f t="shared" si="3"/>
        <v>0</v>
      </c>
      <c r="AH61" s="37">
        <f t="shared" si="10"/>
        <v>0</v>
      </c>
      <c r="AI61" s="37" t="e">
        <f>IF(E61&gt;0,AG61/Calculations!$AB$10,"")</f>
        <v>#DIV/0!</v>
      </c>
      <c r="AJ61" s="75"/>
      <c r="AK61" s="75"/>
      <c r="AL61" s="75"/>
      <c r="AM61" s="75"/>
      <c r="AN61" s="75"/>
      <c r="AO61" s="75"/>
      <c r="AP61" s="75"/>
      <c r="AQ61" s="75"/>
      <c r="AR61" s="75"/>
      <c r="AS61" s="75"/>
    </row>
    <row r="62" spans="1:45" s="47" customFormat="1" x14ac:dyDescent="0.3">
      <c r="A62" s="585" t="s">
        <v>313</v>
      </c>
      <c r="B62" s="586"/>
      <c r="C62" s="587"/>
      <c r="E62" s="495"/>
      <c r="F62" s="200"/>
      <c r="G62" s="13"/>
      <c r="H62" s="13"/>
      <c r="I62" s="13"/>
      <c r="J62" s="13"/>
      <c r="K62" s="199"/>
      <c r="L62" s="13" t="str">
        <f t="shared" si="8"/>
        <v/>
      </c>
      <c r="M62" s="13" t="str">
        <f t="shared" si="8"/>
        <v/>
      </c>
      <c r="N62" s="13" t="str">
        <f t="shared" si="8"/>
        <v/>
      </c>
      <c r="O62" s="13" t="str">
        <f t="shared" si="8"/>
        <v/>
      </c>
      <c r="P62" s="13" t="str">
        <f t="shared" si="8"/>
        <v/>
      </c>
      <c r="Q62" s="13" t="str">
        <f t="shared" si="8"/>
        <v/>
      </c>
      <c r="R62" s="13" t="str">
        <f t="shared" si="8"/>
        <v/>
      </c>
      <c r="S62" s="13" t="str">
        <f t="shared" si="8"/>
        <v/>
      </c>
      <c r="T62" s="13" t="str">
        <f t="shared" si="8"/>
        <v/>
      </c>
      <c r="U62" s="13" t="str">
        <f t="shared" si="8"/>
        <v/>
      </c>
      <c r="V62" s="13" t="str">
        <f t="shared" si="9"/>
        <v/>
      </c>
      <c r="W62" s="13" t="str">
        <f t="shared" si="9"/>
        <v/>
      </c>
      <c r="X62" s="13" t="str">
        <f t="shared" si="9"/>
        <v/>
      </c>
      <c r="Y62" s="13" t="str">
        <f t="shared" si="9"/>
        <v/>
      </c>
      <c r="Z62" s="13" t="str">
        <f t="shared" si="9"/>
        <v/>
      </c>
      <c r="AA62" s="13" t="str">
        <f t="shared" si="9"/>
        <v/>
      </c>
      <c r="AB62" s="13" t="str">
        <f t="shared" si="9"/>
        <v/>
      </c>
      <c r="AC62" s="13" t="str">
        <f t="shared" si="9"/>
        <v/>
      </c>
      <c r="AD62" s="13" t="str">
        <f t="shared" si="9"/>
        <v/>
      </c>
      <c r="AE62" s="13" t="str">
        <f t="shared" si="9"/>
        <v/>
      </c>
      <c r="AF62" s="13" t="str">
        <f t="shared" si="9"/>
        <v/>
      </c>
      <c r="AG62" s="37">
        <f t="shared" si="3"/>
        <v>0</v>
      </c>
      <c r="AH62" s="37" t="str">
        <f t="shared" si="10"/>
        <v/>
      </c>
      <c r="AI62" s="37" t="str">
        <f>IF(E62&gt;0,AG62/Calculations!$AB$10,"")</f>
        <v/>
      </c>
      <c r="AJ62" s="61"/>
      <c r="AK62" s="61"/>
      <c r="AL62" s="61"/>
      <c r="AM62" s="61"/>
      <c r="AN62" s="61"/>
      <c r="AO62" s="61"/>
      <c r="AP62" s="61"/>
      <c r="AQ62" s="61"/>
      <c r="AR62" s="61"/>
      <c r="AS62" s="61"/>
    </row>
    <row r="63" spans="1:45" s="74" customFormat="1" ht="13.8" x14ac:dyDescent="0.3">
      <c r="A63" s="55" t="s">
        <v>28</v>
      </c>
      <c r="B63" s="196" t="str">
        <f>B25</f>
        <v>NGN</v>
      </c>
      <c r="C63" s="4"/>
      <c r="D63" s="47"/>
      <c r="E63" s="139">
        <f>C16</f>
        <v>25</v>
      </c>
      <c r="F63" s="200" t="str">
        <f>IF($C$16&gt;COUNT($E63:E63)*$E63,COUNT($E63:E63)*$E63,"")</f>
        <v/>
      </c>
      <c r="G63" s="13" t="str">
        <f>IF($C$16&gt;COUNT($E63:F63)*$E63,COUNT($E63:F63)*$E63,"")</f>
        <v/>
      </c>
      <c r="H63" s="13" t="str">
        <f>IF($C$16&gt;COUNT($E63:G63)*$E63,COUNT($E63:G63)*$E63,"")</f>
        <v/>
      </c>
      <c r="I63" s="13" t="str">
        <f>IF($C$16&gt;COUNT($E63:H63)*$E63,COUNT($E63:H63)*$E63,"")</f>
        <v/>
      </c>
      <c r="J63" s="13" t="str">
        <f>IF($C$16&gt;COUNT($E63:I63)*$E63,COUNT($E63:I63)*$E63,"")</f>
        <v/>
      </c>
      <c r="K63" s="199" t="str">
        <f>IF($C$16&gt;COUNT($E63:J63)*$E63,COUNT($E63:J63)*$E63,"")</f>
        <v/>
      </c>
      <c r="L63" s="13" t="str">
        <f t="shared" si="8"/>
        <v/>
      </c>
      <c r="M63" s="13" t="str">
        <f t="shared" si="8"/>
        <v/>
      </c>
      <c r="N63" s="13" t="str">
        <f t="shared" si="8"/>
        <v/>
      </c>
      <c r="O63" s="13" t="str">
        <f t="shared" si="8"/>
        <v/>
      </c>
      <c r="P63" s="13" t="str">
        <f t="shared" si="8"/>
        <v/>
      </c>
      <c r="Q63" s="13" t="str">
        <f t="shared" si="8"/>
        <v/>
      </c>
      <c r="R63" s="13" t="str">
        <f t="shared" si="8"/>
        <v/>
      </c>
      <c r="S63" s="13" t="str">
        <f t="shared" si="8"/>
        <v/>
      </c>
      <c r="T63" s="13" t="str">
        <f t="shared" si="8"/>
        <v/>
      </c>
      <c r="U63" s="13" t="str">
        <f t="shared" si="8"/>
        <v/>
      </c>
      <c r="V63" s="13" t="str">
        <f t="shared" si="9"/>
        <v/>
      </c>
      <c r="W63" s="13" t="str">
        <f t="shared" si="9"/>
        <v/>
      </c>
      <c r="X63" s="13" t="str">
        <f t="shared" si="9"/>
        <v/>
      </c>
      <c r="Y63" s="13" t="str">
        <f t="shared" si="9"/>
        <v/>
      </c>
      <c r="Z63" s="13" t="str">
        <f t="shared" si="9"/>
        <v/>
      </c>
      <c r="AA63" s="13" t="str">
        <f t="shared" si="9"/>
        <v/>
      </c>
      <c r="AB63" s="13" t="str">
        <f t="shared" si="9"/>
        <v/>
      </c>
      <c r="AC63" s="13" t="str">
        <f t="shared" si="9"/>
        <v/>
      </c>
      <c r="AD63" s="13" t="str">
        <f t="shared" si="9"/>
        <v/>
      </c>
      <c r="AE63" s="13" t="str">
        <f t="shared" si="9"/>
        <v/>
      </c>
      <c r="AF63" s="13" t="str">
        <f t="shared" si="9"/>
        <v/>
      </c>
      <c r="AG63" s="37">
        <f>IF(E63&gt;0,C63/E63*$C$16,C63)</f>
        <v>0</v>
      </c>
      <c r="AH63" s="37">
        <f t="shared" si="10"/>
        <v>0</v>
      </c>
      <c r="AI63" s="37" t="e">
        <f>IF(E63&gt;0,AG63/Calculations!$AB$10,"")</f>
        <v>#DIV/0!</v>
      </c>
      <c r="AJ63" s="75"/>
      <c r="AK63" s="75"/>
      <c r="AL63" s="75"/>
      <c r="AM63" s="75"/>
      <c r="AN63" s="75"/>
      <c r="AO63" s="75"/>
      <c r="AP63" s="75"/>
      <c r="AQ63" s="75"/>
      <c r="AR63" s="75"/>
      <c r="AS63" s="75"/>
    </row>
    <row r="64" spans="1:45" s="74" customFormat="1" ht="13.8" x14ac:dyDescent="0.3">
      <c r="A64" s="55" t="s">
        <v>44</v>
      </c>
      <c r="B64" s="196" t="str">
        <f>B25</f>
        <v>NGN</v>
      </c>
      <c r="C64" s="4"/>
      <c r="D64" s="47"/>
      <c r="E64" s="139"/>
      <c r="F64" s="200"/>
      <c r="G64" s="13"/>
      <c r="H64" s="13"/>
      <c r="I64" s="13"/>
      <c r="J64" s="13"/>
      <c r="K64" s="199"/>
      <c r="L64" s="13" t="str">
        <f t="shared" ref="L64:U73" si="11">IF(L$23=0,"",IF($F64=L$23,$C64,IF($G64=L$23,$C64,IF($H64=L$23,$C64,IF($I64=L$23,$C64,IF($J64=L$23,$C64,IF($K64=L$23,$C64,"")))))))</f>
        <v/>
      </c>
      <c r="M64" s="13" t="str">
        <f t="shared" si="11"/>
        <v/>
      </c>
      <c r="N64" s="13" t="str">
        <f t="shared" si="11"/>
        <v/>
      </c>
      <c r="O64" s="13" t="str">
        <f t="shared" si="11"/>
        <v/>
      </c>
      <c r="P64" s="13" t="str">
        <f t="shared" si="11"/>
        <v/>
      </c>
      <c r="Q64" s="13" t="str">
        <f t="shared" si="11"/>
        <v/>
      </c>
      <c r="R64" s="13" t="str">
        <f t="shared" si="11"/>
        <v/>
      </c>
      <c r="S64" s="13" t="str">
        <f t="shared" si="11"/>
        <v/>
      </c>
      <c r="T64" s="13" t="str">
        <f t="shared" si="11"/>
        <v/>
      </c>
      <c r="U64" s="13" t="str">
        <f t="shared" si="11"/>
        <v/>
      </c>
      <c r="V64" s="13" t="str">
        <f t="shared" ref="V64:AF73" si="12">IF(V$23=0,"",IF($F64=V$23,$C64,IF($G64=V$23,$C64,IF($H64=V$23,$C64,IF($I64=V$23,$C64,IF($J64=V$23,$C64,IF($K64=V$23,$C64,"")))))))</f>
        <v/>
      </c>
      <c r="W64" s="13" t="str">
        <f t="shared" si="12"/>
        <v/>
      </c>
      <c r="X64" s="13" t="str">
        <f t="shared" si="12"/>
        <v/>
      </c>
      <c r="Y64" s="13" t="str">
        <f t="shared" si="12"/>
        <v/>
      </c>
      <c r="Z64" s="13" t="str">
        <f t="shared" si="12"/>
        <v/>
      </c>
      <c r="AA64" s="13" t="str">
        <f t="shared" si="12"/>
        <v/>
      </c>
      <c r="AB64" s="13" t="str">
        <f t="shared" si="12"/>
        <v/>
      </c>
      <c r="AC64" s="13" t="str">
        <f t="shared" si="12"/>
        <v/>
      </c>
      <c r="AD64" s="13" t="str">
        <f t="shared" si="12"/>
        <v/>
      </c>
      <c r="AE64" s="13" t="str">
        <f t="shared" si="12"/>
        <v/>
      </c>
      <c r="AF64" s="13" t="str">
        <f t="shared" si="12"/>
        <v/>
      </c>
      <c r="AG64" s="37">
        <f t="shared" si="3"/>
        <v>0</v>
      </c>
      <c r="AH64" s="37" t="str">
        <f t="shared" si="10"/>
        <v/>
      </c>
      <c r="AI64" s="37" t="str">
        <f>IF(E64&gt;0,AG64/Calculations!$AB$10,"")</f>
        <v/>
      </c>
      <c r="AJ64" s="75"/>
      <c r="AK64" s="75"/>
      <c r="AL64" s="75"/>
      <c r="AM64" s="75"/>
      <c r="AN64" s="75"/>
      <c r="AO64" s="75"/>
      <c r="AP64" s="75"/>
      <c r="AQ64" s="75"/>
      <c r="AR64" s="75"/>
      <c r="AS64" s="75"/>
    </row>
    <row r="65" spans="1:45" s="74" customFormat="1" ht="13.8" x14ac:dyDescent="0.3">
      <c r="A65" s="55" t="s">
        <v>224</v>
      </c>
      <c r="B65" s="196" t="str">
        <f>B25</f>
        <v>NGN</v>
      </c>
      <c r="C65" s="4"/>
      <c r="D65" s="47"/>
      <c r="E65" s="139">
        <f>C16</f>
        <v>25</v>
      </c>
      <c r="F65" s="200" t="str">
        <f>IF($C$16&gt;COUNT($E65:E65)*$E65,COUNT($E65:E65)*$E65,"")</f>
        <v/>
      </c>
      <c r="G65" s="13" t="str">
        <f>IF($C$16&gt;COUNT($E65:F65)*$E65,COUNT($E65:F65)*$E65,"")</f>
        <v/>
      </c>
      <c r="H65" s="13" t="str">
        <f>IF($C$16&gt;COUNT($E65:G65)*$E65,COUNT($E65:G65)*$E65,"")</f>
        <v/>
      </c>
      <c r="I65" s="13" t="str">
        <f>IF($C$16&gt;COUNT($E65:H65)*$E65,COUNT($E65:H65)*$E65,"")</f>
        <v/>
      </c>
      <c r="J65" s="13" t="str">
        <f>IF($C$16&gt;COUNT($E65:I65)*$E65,COUNT($E65:I65)*$E65,"")</f>
        <v/>
      </c>
      <c r="K65" s="199" t="str">
        <f>IF($C$16&gt;COUNT($E65:J65)*$E65,COUNT($E65:J65)*$E65,"")</f>
        <v/>
      </c>
      <c r="L65" s="13" t="str">
        <f t="shared" si="11"/>
        <v/>
      </c>
      <c r="M65" s="13" t="str">
        <f t="shared" si="11"/>
        <v/>
      </c>
      <c r="N65" s="13" t="str">
        <f t="shared" si="11"/>
        <v/>
      </c>
      <c r="O65" s="13" t="str">
        <f t="shared" si="11"/>
        <v/>
      </c>
      <c r="P65" s="13" t="str">
        <f t="shared" si="11"/>
        <v/>
      </c>
      <c r="Q65" s="13" t="str">
        <f t="shared" si="11"/>
        <v/>
      </c>
      <c r="R65" s="13" t="str">
        <f t="shared" si="11"/>
        <v/>
      </c>
      <c r="S65" s="13" t="str">
        <f t="shared" si="11"/>
        <v/>
      </c>
      <c r="T65" s="13" t="str">
        <f t="shared" si="11"/>
        <v/>
      </c>
      <c r="U65" s="13" t="str">
        <f t="shared" si="11"/>
        <v/>
      </c>
      <c r="V65" s="13" t="str">
        <f t="shared" si="12"/>
        <v/>
      </c>
      <c r="W65" s="13" t="str">
        <f t="shared" si="12"/>
        <v/>
      </c>
      <c r="X65" s="13" t="str">
        <f t="shared" si="12"/>
        <v/>
      </c>
      <c r="Y65" s="13" t="str">
        <f t="shared" si="12"/>
        <v/>
      </c>
      <c r="Z65" s="13" t="str">
        <f t="shared" si="12"/>
        <v/>
      </c>
      <c r="AA65" s="13" t="str">
        <f t="shared" si="12"/>
        <v/>
      </c>
      <c r="AB65" s="13" t="str">
        <f t="shared" si="12"/>
        <v/>
      </c>
      <c r="AC65" s="13" t="str">
        <f t="shared" si="12"/>
        <v/>
      </c>
      <c r="AD65" s="13" t="str">
        <f t="shared" si="12"/>
        <v/>
      </c>
      <c r="AE65" s="13" t="str">
        <f t="shared" si="12"/>
        <v/>
      </c>
      <c r="AF65" s="13" t="str">
        <f t="shared" si="12"/>
        <v/>
      </c>
      <c r="AG65" s="37">
        <f>IF(E65&gt;0,C65/E65*$C$16,C65)</f>
        <v>0</v>
      </c>
      <c r="AH65" s="37">
        <f t="shared" si="10"/>
        <v>0</v>
      </c>
      <c r="AI65" s="37" t="e">
        <f>IF(E65&gt;0,AG65/Calculations!$AB$10,"")</f>
        <v>#DIV/0!</v>
      </c>
      <c r="AJ65" s="75"/>
      <c r="AK65" s="75"/>
      <c r="AL65" s="75"/>
      <c r="AM65" s="75"/>
      <c r="AN65" s="75"/>
      <c r="AO65" s="75"/>
      <c r="AP65" s="75"/>
      <c r="AQ65" s="75"/>
      <c r="AR65" s="75"/>
      <c r="AS65" s="75"/>
    </row>
    <row r="66" spans="1:45" s="74" customFormat="1" ht="13.8" x14ac:dyDescent="0.3">
      <c r="A66" s="55" t="s">
        <v>225</v>
      </c>
      <c r="B66" s="196" t="str">
        <f>B25</f>
        <v>NGN</v>
      </c>
      <c r="C66" s="4"/>
      <c r="D66" s="47"/>
      <c r="E66" s="139">
        <f>C16</f>
        <v>25</v>
      </c>
      <c r="F66" s="200" t="str">
        <f>IF($C$16&gt;COUNT($E66:E66)*$E66,COUNT($E66:E66)*$E66,"")</f>
        <v/>
      </c>
      <c r="G66" s="13" t="str">
        <f>IF($C$16&gt;COUNT($E66:F66)*$E66,COUNT($E66:F66)*$E66,"")</f>
        <v/>
      </c>
      <c r="H66" s="13" t="str">
        <f>IF($C$16&gt;COUNT($E66:G66)*$E66,COUNT($E66:G66)*$E66,"")</f>
        <v/>
      </c>
      <c r="I66" s="13" t="str">
        <f>IF($C$16&gt;COUNT($E66:H66)*$E66,COUNT($E66:H66)*$E66,"")</f>
        <v/>
      </c>
      <c r="J66" s="13" t="str">
        <f>IF($C$16&gt;COUNT($E66:I66)*$E66,COUNT($E66:I66)*$E66,"")</f>
        <v/>
      </c>
      <c r="K66" s="199" t="str">
        <f>IF($C$16&gt;COUNT($E66:J66)*$E66,COUNT($E66:J66)*$E66,"")</f>
        <v/>
      </c>
      <c r="L66" s="13" t="str">
        <f t="shared" si="11"/>
        <v/>
      </c>
      <c r="M66" s="13" t="str">
        <f t="shared" si="11"/>
        <v/>
      </c>
      <c r="N66" s="13" t="str">
        <f t="shared" si="11"/>
        <v/>
      </c>
      <c r="O66" s="13" t="str">
        <f t="shared" si="11"/>
        <v/>
      </c>
      <c r="P66" s="13" t="str">
        <f t="shared" si="11"/>
        <v/>
      </c>
      <c r="Q66" s="13" t="str">
        <f t="shared" si="11"/>
        <v/>
      </c>
      <c r="R66" s="13" t="str">
        <f t="shared" si="11"/>
        <v/>
      </c>
      <c r="S66" s="13" t="str">
        <f t="shared" si="11"/>
        <v/>
      </c>
      <c r="T66" s="13" t="str">
        <f t="shared" si="11"/>
        <v/>
      </c>
      <c r="U66" s="13" t="str">
        <f t="shared" si="11"/>
        <v/>
      </c>
      <c r="V66" s="13" t="str">
        <f t="shared" si="12"/>
        <v/>
      </c>
      <c r="W66" s="13" t="str">
        <f t="shared" si="12"/>
        <v/>
      </c>
      <c r="X66" s="13" t="str">
        <f t="shared" si="12"/>
        <v/>
      </c>
      <c r="Y66" s="13" t="str">
        <f t="shared" si="12"/>
        <v/>
      </c>
      <c r="Z66" s="13" t="str">
        <f t="shared" si="12"/>
        <v/>
      </c>
      <c r="AA66" s="13" t="str">
        <f t="shared" si="12"/>
        <v/>
      </c>
      <c r="AB66" s="13" t="str">
        <f t="shared" si="12"/>
        <v/>
      </c>
      <c r="AC66" s="13" t="str">
        <f t="shared" si="12"/>
        <v/>
      </c>
      <c r="AD66" s="13" t="str">
        <f t="shared" si="12"/>
        <v/>
      </c>
      <c r="AE66" s="13" t="str">
        <f t="shared" si="12"/>
        <v/>
      </c>
      <c r="AF66" s="13" t="str">
        <f t="shared" si="12"/>
        <v/>
      </c>
      <c r="AG66" s="37">
        <f t="shared" si="3"/>
        <v>0</v>
      </c>
      <c r="AH66" s="37">
        <f t="shared" si="10"/>
        <v>0</v>
      </c>
      <c r="AI66" s="37" t="e">
        <f>IF(E66&gt;0,AG66/Calculations!$AB$10,"")</f>
        <v>#DIV/0!</v>
      </c>
      <c r="AJ66" s="75"/>
      <c r="AK66" s="75"/>
      <c r="AL66" s="75"/>
      <c r="AM66" s="75"/>
      <c r="AN66" s="75"/>
      <c r="AO66" s="75"/>
      <c r="AP66" s="75"/>
      <c r="AQ66" s="75"/>
      <c r="AR66" s="75"/>
      <c r="AS66" s="75"/>
    </row>
    <row r="67" spans="1:45" s="74" customFormat="1" ht="13.8" x14ac:dyDescent="0.3">
      <c r="A67" s="55" t="s">
        <v>74</v>
      </c>
      <c r="B67" s="196" t="str">
        <f>B25</f>
        <v>NGN</v>
      </c>
      <c r="C67" s="4"/>
      <c r="D67" s="47"/>
      <c r="E67" s="139">
        <f>C16</f>
        <v>25</v>
      </c>
      <c r="F67" s="200" t="str">
        <f>IF($C$16&gt;COUNT($E67:E67)*$E67,COUNT($E67:E67)*$E67,"")</f>
        <v/>
      </c>
      <c r="G67" s="13" t="str">
        <f>IF($C$16&gt;COUNT($E67:F67)*$E67,COUNT($E67:F67)*$E67,"")</f>
        <v/>
      </c>
      <c r="H67" s="13" t="str">
        <f>IF($C$16&gt;COUNT($E67:G67)*$E67,COUNT($E67:G67)*$E67,"")</f>
        <v/>
      </c>
      <c r="I67" s="13" t="str">
        <f>IF($C$16&gt;COUNT($E67:H67)*$E67,COUNT($E67:H67)*$E67,"")</f>
        <v/>
      </c>
      <c r="J67" s="13" t="str">
        <f>IF($C$16&gt;COUNT($E67:I67)*$E67,COUNT($E67:I67)*$E67,"")</f>
        <v/>
      </c>
      <c r="K67" s="199" t="str">
        <f>IF($C$16&gt;COUNT($E67:J67)*$E67,COUNT($E67:J67)*$E67,"")</f>
        <v/>
      </c>
      <c r="L67" s="13" t="str">
        <f t="shared" si="11"/>
        <v/>
      </c>
      <c r="M67" s="13" t="str">
        <f t="shared" si="11"/>
        <v/>
      </c>
      <c r="N67" s="13" t="str">
        <f t="shared" si="11"/>
        <v/>
      </c>
      <c r="O67" s="13" t="str">
        <f t="shared" si="11"/>
        <v/>
      </c>
      <c r="P67" s="13" t="str">
        <f t="shared" si="11"/>
        <v/>
      </c>
      <c r="Q67" s="13" t="str">
        <f t="shared" si="11"/>
        <v/>
      </c>
      <c r="R67" s="13" t="str">
        <f t="shared" si="11"/>
        <v/>
      </c>
      <c r="S67" s="13" t="str">
        <f t="shared" si="11"/>
        <v/>
      </c>
      <c r="T67" s="13" t="str">
        <f t="shared" si="11"/>
        <v/>
      </c>
      <c r="U67" s="13" t="str">
        <f t="shared" si="11"/>
        <v/>
      </c>
      <c r="V67" s="13" t="str">
        <f t="shared" si="12"/>
        <v/>
      </c>
      <c r="W67" s="13" t="str">
        <f t="shared" si="12"/>
        <v/>
      </c>
      <c r="X67" s="13" t="str">
        <f t="shared" si="12"/>
        <v/>
      </c>
      <c r="Y67" s="13" t="str">
        <f t="shared" si="12"/>
        <v/>
      </c>
      <c r="Z67" s="13" t="str">
        <f t="shared" si="12"/>
        <v/>
      </c>
      <c r="AA67" s="13" t="str">
        <f t="shared" si="12"/>
        <v/>
      </c>
      <c r="AB67" s="13" t="str">
        <f t="shared" si="12"/>
        <v/>
      </c>
      <c r="AC67" s="13" t="str">
        <f t="shared" si="12"/>
        <v/>
      </c>
      <c r="AD67" s="13" t="str">
        <f t="shared" si="12"/>
        <v/>
      </c>
      <c r="AE67" s="13" t="str">
        <f t="shared" si="12"/>
        <v/>
      </c>
      <c r="AF67" s="13" t="str">
        <f t="shared" si="12"/>
        <v/>
      </c>
      <c r="AG67" s="37">
        <f t="shared" si="3"/>
        <v>0</v>
      </c>
      <c r="AH67" s="37">
        <f t="shared" si="10"/>
        <v>0</v>
      </c>
      <c r="AI67" s="37" t="e">
        <f>IF(E67&gt;0,AG67/Calculations!$AB$10,"")</f>
        <v>#DIV/0!</v>
      </c>
      <c r="AJ67" s="75"/>
      <c r="AK67" s="75"/>
      <c r="AL67" s="75"/>
      <c r="AM67" s="75"/>
      <c r="AN67" s="75"/>
      <c r="AO67" s="75"/>
      <c r="AP67" s="75"/>
      <c r="AQ67" s="75"/>
      <c r="AR67" s="75"/>
      <c r="AS67" s="75"/>
    </row>
    <row r="68" spans="1:45" s="74" customFormat="1" ht="13.8" x14ac:dyDescent="0.3">
      <c r="A68" s="55" t="s">
        <v>12</v>
      </c>
      <c r="B68" s="196" t="str">
        <f>B25</f>
        <v>NGN</v>
      </c>
      <c r="C68" s="4"/>
      <c r="D68" s="47"/>
      <c r="E68" s="139">
        <f>C16</f>
        <v>25</v>
      </c>
      <c r="F68" s="200" t="str">
        <f>IF($C$16&gt;COUNT($E68:E68)*$E68,COUNT($E68:E68)*$E68,"")</f>
        <v/>
      </c>
      <c r="G68" s="13" t="str">
        <f>IF($C$16&gt;COUNT($E68:F68)*$E68,COUNT($E68:F68)*$E68,"")</f>
        <v/>
      </c>
      <c r="H68" s="13" t="str">
        <f>IF($C$16&gt;COUNT($E68:G68)*$E68,COUNT($E68:G68)*$E68,"")</f>
        <v/>
      </c>
      <c r="I68" s="13" t="str">
        <f>IF($C$16&gt;COUNT($E68:H68)*$E68,COUNT($E68:H68)*$E68,"")</f>
        <v/>
      </c>
      <c r="J68" s="13" t="str">
        <f>IF($C$16&gt;COUNT($E68:I68)*$E68,COUNT($E68:I68)*$E68,"")</f>
        <v/>
      </c>
      <c r="K68" s="199" t="str">
        <f>IF($C$16&gt;COUNT($E68:J68)*$E68,COUNT($E68:J68)*$E68,"")</f>
        <v/>
      </c>
      <c r="L68" s="13" t="str">
        <f t="shared" si="11"/>
        <v/>
      </c>
      <c r="M68" s="13" t="str">
        <f t="shared" si="11"/>
        <v/>
      </c>
      <c r="N68" s="13" t="str">
        <f t="shared" si="11"/>
        <v/>
      </c>
      <c r="O68" s="13" t="str">
        <f t="shared" si="11"/>
        <v/>
      </c>
      <c r="P68" s="13" t="str">
        <f t="shared" si="11"/>
        <v/>
      </c>
      <c r="Q68" s="13" t="str">
        <f t="shared" si="11"/>
        <v/>
      </c>
      <c r="R68" s="13" t="str">
        <f t="shared" si="11"/>
        <v/>
      </c>
      <c r="S68" s="13" t="str">
        <f t="shared" si="11"/>
        <v/>
      </c>
      <c r="T68" s="13" t="str">
        <f t="shared" si="11"/>
        <v/>
      </c>
      <c r="U68" s="13" t="str">
        <f t="shared" si="11"/>
        <v/>
      </c>
      <c r="V68" s="13" t="str">
        <f t="shared" si="12"/>
        <v/>
      </c>
      <c r="W68" s="13" t="str">
        <f t="shared" si="12"/>
        <v/>
      </c>
      <c r="X68" s="13" t="str">
        <f t="shared" si="12"/>
        <v/>
      </c>
      <c r="Y68" s="13" t="str">
        <f t="shared" si="12"/>
        <v/>
      </c>
      <c r="Z68" s="13" t="str">
        <f t="shared" si="12"/>
        <v/>
      </c>
      <c r="AA68" s="13" t="str">
        <f t="shared" si="12"/>
        <v/>
      </c>
      <c r="AB68" s="13" t="str">
        <f t="shared" si="12"/>
        <v/>
      </c>
      <c r="AC68" s="13" t="str">
        <f t="shared" si="12"/>
        <v/>
      </c>
      <c r="AD68" s="13" t="str">
        <f t="shared" si="12"/>
        <v/>
      </c>
      <c r="AE68" s="13" t="str">
        <f t="shared" si="12"/>
        <v/>
      </c>
      <c r="AF68" s="13" t="str">
        <f t="shared" si="12"/>
        <v/>
      </c>
      <c r="AG68" s="37">
        <f t="shared" si="3"/>
        <v>0</v>
      </c>
      <c r="AH68" s="37">
        <f t="shared" si="10"/>
        <v>0</v>
      </c>
      <c r="AI68" s="37" t="e">
        <f>IF(E68&gt;0,AG68/Calculations!$AB$10,"")</f>
        <v>#DIV/0!</v>
      </c>
      <c r="AJ68" s="75"/>
      <c r="AK68" s="75"/>
      <c r="AL68" s="75"/>
      <c r="AM68" s="75"/>
      <c r="AN68" s="75"/>
      <c r="AO68" s="75"/>
      <c r="AP68" s="75"/>
      <c r="AQ68" s="75"/>
      <c r="AR68" s="75"/>
      <c r="AS68" s="75"/>
    </row>
    <row r="69" spans="1:45" s="74" customFormat="1" ht="13.8" x14ac:dyDescent="0.3">
      <c r="A69" s="55" t="s">
        <v>42</v>
      </c>
      <c r="B69" s="196" t="str">
        <f>B25</f>
        <v>NGN</v>
      </c>
      <c r="C69" s="4"/>
      <c r="D69" s="47"/>
      <c r="E69" s="139">
        <f>C16</f>
        <v>25</v>
      </c>
      <c r="F69" s="200" t="str">
        <f>IF($C$16&gt;COUNT($E69:E69)*$E69,COUNT($E69:E69)*$E69,"")</f>
        <v/>
      </c>
      <c r="G69" s="13" t="str">
        <f>IF($C$16&gt;COUNT($E69:F69)*$E69,COUNT($E69:F69)*$E69,"")</f>
        <v/>
      </c>
      <c r="H69" s="13" t="str">
        <f>IF($C$16&gt;COUNT($E69:G69)*$E69,COUNT($E69:G69)*$E69,"")</f>
        <v/>
      </c>
      <c r="I69" s="13" t="str">
        <f>IF($C$16&gt;COUNT($E69:H69)*$E69,COUNT($E69:H69)*$E69,"")</f>
        <v/>
      </c>
      <c r="J69" s="13" t="str">
        <f>IF($C$16&gt;COUNT($E69:I69)*$E69,COUNT($E69:I69)*$E69,"")</f>
        <v/>
      </c>
      <c r="K69" s="199" t="str">
        <f>IF($C$16&gt;COUNT($E69:J69)*$E69,COUNT($E69:J69)*$E69,"")</f>
        <v/>
      </c>
      <c r="L69" s="13" t="str">
        <f t="shared" si="11"/>
        <v/>
      </c>
      <c r="M69" s="13" t="str">
        <f t="shared" si="11"/>
        <v/>
      </c>
      <c r="N69" s="13" t="str">
        <f t="shared" si="11"/>
        <v/>
      </c>
      <c r="O69" s="13" t="str">
        <f t="shared" si="11"/>
        <v/>
      </c>
      <c r="P69" s="13" t="str">
        <f t="shared" si="11"/>
        <v/>
      </c>
      <c r="Q69" s="13" t="str">
        <f t="shared" si="11"/>
        <v/>
      </c>
      <c r="R69" s="13" t="str">
        <f t="shared" si="11"/>
        <v/>
      </c>
      <c r="S69" s="13" t="str">
        <f t="shared" si="11"/>
        <v/>
      </c>
      <c r="T69" s="13" t="str">
        <f t="shared" si="11"/>
        <v/>
      </c>
      <c r="U69" s="13" t="str">
        <f t="shared" si="11"/>
        <v/>
      </c>
      <c r="V69" s="13" t="str">
        <f t="shared" si="12"/>
        <v/>
      </c>
      <c r="W69" s="13" t="str">
        <f t="shared" si="12"/>
        <v/>
      </c>
      <c r="X69" s="13" t="str">
        <f t="shared" si="12"/>
        <v/>
      </c>
      <c r="Y69" s="13" t="str">
        <f t="shared" si="12"/>
        <v/>
      </c>
      <c r="Z69" s="13" t="str">
        <f t="shared" si="12"/>
        <v/>
      </c>
      <c r="AA69" s="13" t="str">
        <f t="shared" si="12"/>
        <v/>
      </c>
      <c r="AB69" s="13" t="str">
        <f t="shared" si="12"/>
        <v/>
      </c>
      <c r="AC69" s="13" t="str">
        <f t="shared" si="12"/>
        <v/>
      </c>
      <c r="AD69" s="13" t="str">
        <f t="shared" si="12"/>
        <v/>
      </c>
      <c r="AE69" s="13" t="str">
        <f t="shared" si="12"/>
        <v/>
      </c>
      <c r="AF69" s="13" t="str">
        <f t="shared" si="12"/>
        <v/>
      </c>
      <c r="AG69" s="37">
        <f t="shared" si="3"/>
        <v>0</v>
      </c>
      <c r="AH69" s="37">
        <f t="shared" si="10"/>
        <v>0</v>
      </c>
      <c r="AI69" s="37" t="e">
        <f>IF(E69&gt;0,AG69/Calculations!$AB$10,"")</f>
        <v>#DIV/0!</v>
      </c>
      <c r="AJ69" s="75"/>
      <c r="AK69" s="75"/>
      <c r="AL69" s="75"/>
      <c r="AM69" s="75"/>
      <c r="AN69" s="75"/>
      <c r="AO69" s="75"/>
      <c r="AP69" s="75"/>
      <c r="AQ69" s="75"/>
      <c r="AR69" s="75"/>
      <c r="AS69" s="75"/>
    </row>
    <row r="70" spans="1:45" s="74" customFormat="1" ht="13.8" x14ac:dyDescent="0.3">
      <c r="A70" s="55" t="s">
        <v>35</v>
      </c>
      <c r="B70" s="196" t="str">
        <f>B25</f>
        <v>NGN</v>
      </c>
      <c r="C70" s="4"/>
      <c r="D70" s="47"/>
      <c r="E70" s="139">
        <f>C16</f>
        <v>25</v>
      </c>
      <c r="F70" s="200" t="str">
        <f>IF($C$16&gt;COUNT($E70:E70)*$E70,COUNT($E70:E70)*$E70,"")</f>
        <v/>
      </c>
      <c r="G70" s="13" t="str">
        <f>IF($C$16&gt;COUNT($E70:F70)*$E70,COUNT($E70:F70)*$E70,"")</f>
        <v/>
      </c>
      <c r="H70" s="13" t="str">
        <f>IF($C$16&gt;COUNT($E70:G70)*$E70,COUNT($E70:G70)*$E70,"")</f>
        <v/>
      </c>
      <c r="I70" s="13" t="str">
        <f>IF($C$16&gt;COUNT($E70:H70)*$E70,COUNT($E70:H70)*$E70,"")</f>
        <v/>
      </c>
      <c r="J70" s="13" t="str">
        <f>IF($C$16&gt;COUNT($E70:I70)*$E70,COUNT($E70:I70)*$E70,"")</f>
        <v/>
      </c>
      <c r="K70" s="199" t="str">
        <f>IF($C$16&gt;COUNT($E70:J70)*$E70,COUNT($E70:J70)*$E70,"")</f>
        <v/>
      </c>
      <c r="L70" s="13" t="str">
        <f t="shared" si="11"/>
        <v/>
      </c>
      <c r="M70" s="13" t="str">
        <f t="shared" si="11"/>
        <v/>
      </c>
      <c r="N70" s="13" t="str">
        <f t="shared" si="11"/>
        <v/>
      </c>
      <c r="O70" s="13" t="str">
        <f t="shared" si="11"/>
        <v/>
      </c>
      <c r="P70" s="13" t="str">
        <f t="shared" si="11"/>
        <v/>
      </c>
      <c r="Q70" s="13" t="str">
        <f t="shared" si="11"/>
        <v/>
      </c>
      <c r="R70" s="13" t="str">
        <f t="shared" si="11"/>
        <v/>
      </c>
      <c r="S70" s="13" t="str">
        <f t="shared" si="11"/>
        <v/>
      </c>
      <c r="T70" s="13" t="str">
        <f t="shared" si="11"/>
        <v/>
      </c>
      <c r="U70" s="13" t="str">
        <f t="shared" si="11"/>
        <v/>
      </c>
      <c r="V70" s="13" t="str">
        <f t="shared" si="12"/>
        <v/>
      </c>
      <c r="W70" s="13" t="str">
        <f t="shared" si="12"/>
        <v/>
      </c>
      <c r="X70" s="13" t="str">
        <f t="shared" si="12"/>
        <v/>
      </c>
      <c r="Y70" s="13" t="str">
        <f t="shared" si="12"/>
        <v/>
      </c>
      <c r="Z70" s="13" t="str">
        <f t="shared" si="12"/>
        <v/>
      </c>
      <c r="AA70" s="13" t="str">
        <f t="shared" si="12"/>
        <v/>
      </c>
      <c r="AB70" s="13" t="str">
        <f t="shared" si="12"/>
        <v/>
      </c>
      <c r="AC70" s="13" t="str">
        <f t="shared" si="12"/>
        <v/>
      </c>
      <c r="AD70" s="13" t="str">
        <f t="shared" si="12"/>
        <v/>
      </c>
      <c r="AE70" s="13" t="str">
        <f t="shared" si="12"/>
        <v/>
      </c>
      <c r="AF70" s="13" t="str">
        <f t="shared" si="12"/>
        <v/>
      </c>
      <c r="AG70" s="37">
        <f t="shared" si="3"/>
        <v>0</v>
      </c>
      <c r="AH70" s="37">
        <f t="shared" si="10"/>
        <v>0</v>
      </c>
      <c r="AI70" s="37" t="e">
        <f>IF(E70&gt;0,AG70/Calculations!$AB$10,"")</f>
        <v>#DIV/0!</v>
      </c>
      <c r="AJ70" s="75"/>
      <c r="AK70" s="75"/>
      <c r="AL70" s="75"/>
      <c r="AM70" s="75"/>
      <c r="AN70" s="75"/>
      <c r="AO70" s="75"/>
      <c r="AP70" s="75"/>
      <c r="AQ70" s="75"/>
      <c r="AR70" s="75"/>
      <c r="AS70" s="75"/>
    </row>
    <row r="71" spans="1:45" s="74" customFormat="1" ht="13.8" x14ac:dyDescent="0.3">
      <c r="A71" s="55" t="s">
        <v>10</v>
      </c>
      <c r="B71" s="196" t="str">
        <f>B25</f>
        <v>NGN</v>
      </c>
      <c r="C71" s="4"/>
      <c r="D71" s="47"/>
      <c r="E71" s="139">
        <f>C16</f>
        <v>25</v>
      </c>
      <c r="F71" s="200" t="str">
        <f>IF($C$16&gt;COUNT($E71:E71)*$E71,COUNT($E71:E71)*$E71,"")</f>
        <v/>
      </c>
      <c r="G71" s="13" t="str">
        <f>IF($C$16&gt;COUNT($E71:F71)*$E71,COUNT($E71:F71)*$E71,"")</f>
        <v/>
      </c>
      <c r="H71" s="13" t="str">
        <f>IF($C$16&gt;COUNT($E71:G71)*$E71,COUNT($E71:G71)*$E71,"")</f>
        <v/>
      </c>
      <c r="I71" s="13" t="str">
        <f>IF($C$16&gt;COUNT($E71:H71)*$E71,COUNT($E71:H71)*$E71,"")</f>
        <v/>
      </c>
      <c r="J71" s="13" t="str">
        <f>IF($C$16&gt;COUNT($E71:I71)*$E71,COUNT($E71:I71)*$E71,"")</f>
        <v/>
      </c>
      <c r="K71" s="199" t="str">
        <f>IF($C$16&gt;COUNT($E71:J71)*$E71,COUNT($E71:J71)*$E71,"")</f>
        <v/>
      </c>
      <c r="L71" s="13" t="str">
        <f t="shared" si="11"/>
        <v/>
      </c>
      <c r="M71" s="13" t="str">
        <f t="shared" si="11"/>
        <v/>
      </c>
      <c r="N71" s="13" t="str">
        <f t="shared" si="11"/>
        <v/>
      </c>
      <c r="O71" s="13" t="str">
        <f t="shared" si="11"/>
        <v/>
      </c>
      <c r="P71" s="13" t="str">
        <f t="shared" si="11"/>
        <v/>
      </c>
      <c r="Q71" s="13" t="str">
        <f t="shared" si="11"/>
        <v/>
      </c>
      <c r="R71" s="13" t="str">
        <f t="shared" si="11"/>
        <v/>
      </c>
      <c r="S71" s="13" t="str">
        <f t="shared" si="11"/>
        <v/>
      </c>
      <c r="T71" s="13" t="str">
        <f t="shared" si="11"/>
        <v/>
      </c>
      <c r="U71" s="13" t="str">
        <f t="shared" si="11"/>
        <v/>
      </c>
      <c r="V71" s="13" t="str">
        <f t="shared" si="12"/>
        <v/>
      </c>
      <c r="W71" s="13" t="str">
        <f t="shared" si="12"/>
        <v/>
      </c>
      <c r="X71" s="13" t="str">
        <f t="shared" si="12"/>
        <v/>
      </c>
      <c r="Y71" s="13" t="str">
        <f t="shared" si="12"/>
        <v/>
      </c>
      <c r="Z71" s="13" t="str">
        <f t="shared" si="12"/>
        <v/>
      </c>
      <c r="AA71" s="13" t="str">
        <f t="shared" si="12"/>
        <v/>
      </c>
      <c r="AB71" s="13" t="str">
        <f t="shared" si="12"/>
        <v/>
      </c>
      <c r="AC71" s="13" t="str">
        <f t="shared" si="12"/>
        <v/>
      </c>
      <c r="AD71" s="13" t="str">
        <f t="shared" si="12"/>
        <v/>
      </c>
      <c r="AE71" s="13" t="str">
        <f t="shared" si="12"/>
        <v/>
      </c>
      <c r="AF71" s="13" t="str">
        <f t="shared" si="12"/>
        <v/>
      </c>
      <c r="AG71" s="37">
        <f t="shared" si="3"/>
        <v>0</v>
      </c>
      <c r="AH71" s="37">
        <f t="shared" si="10"/>
        <v>0</v>
      </c>
      <c r="AI71" s="37" t="e">
        <f>IF(E71&gt;0,AG71/Calculations!$AB$10,"")</f>
        <v>#DIV/0!</v>
      </c>
      <c r="AJ71" s="75"/>
      <c r="AK71" s="75"/>
      <c r="AL71" s="75"/>
      <c r="AM71" s="75"/>
      <c r="AN71" s="75"/>
      <c r="AO71" s="75"/>
      <c r="AP71" s="75"/>
      <c r="AQ71" s="75"/>
      <c r="AR71" s="75"/>
      <c r="AS71" s="75"/>
    </row>
    <row r="72" spans="1:45" s="74" customFormat="1" ht="13.8" x14ac:dyDescent="0.3">
      <c r="A72" s="55" t="s">
        <v>235</v>
      </c>
      <c r="B72" s="196" t="str">
        <f>B25</f>
        <v>NGN</v>
      </c>
      <c r="C72" s="4"/>
      <c r="D72" s="47"/>
      <c r="E72" s="139">
        <f>C16</f>
        <v>25</v>
      </c>
      <c r="F72" s="200" t="str">
        <f>IF($C$16&gt;COUNT($E72:E72)*$E72,COUNT($E72:E72)*$E72,"")</f>
        <v/>
      </c>
      <c r="G72" s="13" t="str">
        <f>IF($C$16&gt;COUNT($E72:F72)*$E72,COUNT($E72:F72)*$E72,"")</f>
        <v/>
      </c>
      <c r="H72" s="13" t="str">
        <f>IF($C$16&gt;COUNT($E72:G72)*$E72,COUNT($E72:G72)*$E72,"")</f>
        <v/>
      </c>
      <c r="I72" s="13" t="str">
        <f>IF($C$16&gt;COUNT($E72:H72)*$E72,COUNT($E72:H72)*$E72,"")</f>
        <v/>
      </c>
      <c r="J72" s="13" t="str">
        <f>IF($C$16&gt;COUNT($E72:I72)*$E72,COUNT($E72:I72)*$E72,"")</f>
        <v/>
      </c>
      <c r="K72" s="199" t="str">
        <f>IF($C$16&gt;COUNT($E72:J72)*$E72,COUNT($E72:J72)*$E72,"")</f>
        <v/>
      </c>
      <c r="L72" s="13" t="str">
        <f t="shared" si="11"/>
        <v/>
      </c>
      <c r="M72" s="13" t="str">
        <f t="shared" si="11"/>
        <v/>
      </c>
      <c r="N72" s="13" t="str">
        <f t="shared" si="11"/>
        <v/>
      </c>
      <c r="O72" s="13" t="str">
        <f t="shared" si="11"/>
        <v/>
      </c>
      <c r="P72" s="13" t="str">
        <f t="shared" si="11"/>
        <v/>
      </c>
      <c r="Q72" s="13" t="str">
        <f t="shared" si="11"/>
        <v/>
      </c>
      <c r="R72" s="13" t="str">
        <f t="shared" si="11"/>
        <v/>
      </c>
      <c r="S72" s="13" t="str">
        <f t="shared" si="11"/>
        <v/>
      </c>
      <c r="T72" s="13" t="str">
        <f t="shared" si="11"/>
        <v/>
      </c>
      <c r="U72" s="13" t="str">
        <f t="shared" si="11"/>
        <v/>
      </c>
      <c r="V72" s="13" t="str">
        <f t="shared" si="12"/>
        <v/>
      </c>
      <c r="W72" s="13" t="str">
        <f t="shared" si="12"/>
        <v/>
      </c>
      <c r="X72" s="13" t="str">
        <f t="shared" si="12"/>
        <v/>
      </c>
      <c r="Y72" s="13" t="str">
        <f t="shared" si="12"/>
        <v/>
      </c>
      <c r="Z72" s="13" t="str">
        <f t="shared" si="12"/>
        <v/>
      </c>
      <c r="AA72" s="13" t="str">
        <f t="shared" si="12"/>
        <v/>
      </c>
      <c r="AB72" s="13" t="str">
        <f t="shared" si="12"/>
        <v/>
      </c>
      <c r="AC72" s="13" t="str">
        <f t="shared" si="12"/>
        <v/>
      </c>
      <c r="AD72" s="13" t="str">
        <f t="shared" si="12"/>
        <v/>
      </c>
      <c r="AE72" s="13" t="str">
        <f t="shared" si="12"/>
        <v/>
      </c>
      <c r="AF72" s="13" t="str">
        <f t="shared" si="12"/>
        <v/>
      </c>
      <c r="AG72" s="37">
        <f t="shared" si="3"/>
        <v>0</v>
      </c>
      <c r="AH72" s="37">
        <f t="shared" si="10"/>
        <v>0</v>
      </c>
      <c r="AI72" s="37" t="e">
        <f>IF(E72&gt;0,AG72/Calculations!$AB$10,"")</f>
        <v>#DIV/0!</v>
      </c>
      <c r="AJ72" s="75"/>
      <c r="AK72" s="75"/>
      <c r="AL72" s="75"/>
      <c r="AM72" s="75"/>
      <c r="AN72" s="75"/>
      <c r="AO72" s="75"/>
      <c r="AP72" s="75"/>
      <c r="AQ72" s="75"/>
      <c r="AR72" s="75"/>
      <c r="AS72" s="75"/>
    </row>
    <row r="73" spans="1:45" s="74" customFormat="1" ht="13.8" x14ac:dyDescent="0.3">
      <c r="A73" s="55" t="s">
        <v>234</v>
      </c>
      <c r="B73" s="196" t="str">
        <f>B26</f>
        <v>NGN</v>
      </c>
      <c r="C73" s="4"/>
      <c r="D73" s="47"/>
      <c r="E73" s="139">
        <f>C16</f>
        <v>25</v>
      </c>
      <c r="F73" s="200" t="str">
        <f>IF($C$16&gt;COUNT($E73:E73)*$E73,COUNT($E73:E73)*$E73,"")</f>
        <v/>
      </c>
      <c r="G73" s="13" t="str">
        <f>IF($C$16&gt;COUNT($E73:F73)*$E73,COUNT($E73:F73)*$E73,"")</f>
        <v/>
      </c>
      <c r="H73" s="13" t="str">
        <f>IF($C$16&gt;COUNT($E73:G73)*$E73,COUNT($E73:G73)*$E73,"")</f>
        <v/>
      </c>
      <c r="I73" s="13" t="str">
        <f>IF($C$16&gt;COUNT($E73:H73)*$E73,COUNT($E73:H73)*$E73,"")</f>
        <v/>
      </c>
      <c r="J73" s="13" t="str">
        <f>IF($C$16&gt;COUNT($E73:I73)*$E73,COUNT($E73:I73)*$E73,"")</f>
        <v/>
      </c>
      <c r="K73" s="199" t="str">
        <f>IF($C$16&gt;COUNT($E73:J73)*$E73,COUNT($E73:J73)*$E73,"")</f>
        <v/>
      </c>
      <c r="L73" s="13" t="str">
        <f t="shared" si="11"/>
        <v/>
      </c>
      <c r="M73" s="13" t="str">
        <f t="shared" si="11"/>
        <v/>
      </c>
      <c r="N73" s="13" t="str">
        <f t="shared" si="11"/>
        <v/>
      </c>
      <c r="O73" s="13" t="str">
        <f t="shared" si="11"/>
        <v/>
      </c>
      <c r="P73" s="13" t="str">
        <f t="shared" si="11"/>
        <v/>
      </c>
      <c r="Q73" s="13" t="str">
        <f t="shared" si="11"/>
        <v/>
      </c>
      <c r="R73" s="13" t="str">
        <f t="shared" si="11"/>
        <v/>
      </c>
      <c r="S73" s="13" t="str">
        <f t="shared" si="11"/>
        <v/>
      </c>
      <c r="T73" s="13" t="str">
        <f t="shared" si="11"/>
        <v/>
      </c>
      <c r="U73" s="13" t="str">
        <f t="shared" si="11"/>
        <v/>
      </c>
      <c r="V73" s="13" t="str">
        <f t="shared" si="12"/>
        <v/>
      </c>
      <c r="W73" s="13" t="str">
        <f t="shared" si="12"/>
        <v/>
      </c>
      <c r="X73" s="13" t="str">
        <f t="shared" si="12"/>
        <v/>
      </c>
      <c r="Y73" s="13" t="str">
        <f t="shared" si="12"/>
        <v/>
      </c>
      <c r="Z73" s="13" t="str">
        <f t="shared" si="12"/>
        <v/>
      </c>
      <c r="AA73" s="13" t="str">
        <f t="shared" si="12"/>
        <v/>
      </c>
      <c r="AB73" s="13" t="str">
        <f t="shared" si="12"/>
        <v/>
      </c>
      <c r="AC73" s="13" t="str">
        <f t="shared" si="12"/>
        <v/>
      </c>
      <c r="AD73" s="13" t="str">
        <f t="shared" si="12"/>
        <v/>
      </c>
      <c r="AE73" s="13" t="str">
        <f t="shared" si="12"/>
        <v/>
      </c>
      <c r="AF73" s="13" t="str">
        <f t="shared" si="12"/>
        <v/>
      </c>
      <c r="AG73" s="37">
        <f t="shared" si="3"/>
        <v>0</v>
      </c>
      <c r="AH73" s="37">
        <f t="shared" si="10"/>
        <v>0</v>
      </c>
      <c r="AI73" s="37" t="e">
        <f>IF(E73&gt;0,AG73/Calculations!$AB$10,"")</f>
        <v>#DIV/0!</v>
      </c>
      <c r="AJ73" s="75"/>
      <c r="AK73" s="75"/>
      <c r="AL73" s="75"/>
      <c r="AM73" s="75"/>
      <c r="AN73" s="75"/>
      <c r="AO73" s="75"/>
      <c r="AP73" s="75"/>
      <c r="AQ73" s="75"/>
      <c r="AR73" s="75"/>
      <c r="AS73" s="75"/>
    </row>
    <row r="74" spans="1:45" s="74" customFormat="1" ht="13.8" x14ac:dyDescent="0.3">
      <c r="A74" s="55" t="s">
        <v>40</v>
      </c>
      <c r="B74" s="196" t="str">
        <f>B25</f>
        <v>NGN</v>
      </c>
      <c r="C74" s="4"/>
      <c r="D74" s="47"/>
      <c r="E74" s="139">
        <f>C16</f>
        <v>25</v>
      </c>
      <c r="F74" s="200" t="str">
        <f>IF($C$16&gt;COUNT($E74:E74)*$E74,COUNT($E74:E74)*$E74,"")</f>
        <v/>
      </c>
      <c r="G74" s="13" t="str">
        <f>IF($C$16&gt;COUNT($E74:F74)*$E74,COUNT($E74:F74)*$E74,"")</f>
        <v/>
      </c>
      <c r="H74" s="13" t="str">
        <f>IF($C$16&gt;COUNT($E74:G74)*$E74,COUNT($E74:G74)*$E74,"")</f>
        <v/>
      </c>
      <c r="I74" s="13" t="str">
        <f>IF($C$16&gt;COUNT($E74:H74)*$E74,COUNT($E74:H74)*$E74,"")</f>
        <v/>
      </c>
      <c r="J74" s="13" t="str">
        <f>IF($C$16&gt;COUNT($E74:I74)*$E74,COUNT($E74:I74)*$E74,"")</f>
        <v/>
      </c>
      <c r="K74" s="199" t="str">
        <f>IF($C$16&gt;COUNT($E74:J74)*$E74,COUNT($E74:J74)*$E74,"")</f>
        <v/>
      </c>
      <c r="L74" s="13" t="str">
        <f t="shared" ref="L74:U83" si="13">IF(L$23=0,"",IF($F74=L$23,$C74,IF($G74=L$23,$C74,IF($H74=L$23,$C74,IF($I74=L$23,$C74,IF($J74=L$23,$C74,IF($K74=L$23,$C74,"")))))))</f>
        <v/>
      </c>
      <c r="M74" s="13" t="str">
        <f t="shared" si="13"/>
        <v/>
      </c>
      <c r="N74" s="13" t="str">
        <f t="shared" si="13"/>
        <v/>
      </c>
      <c r="O74" s="13" t="str">
        <f t="shared" si="13"/>
        <v/>
      </c>
      <c r="P74" s="13" t="str">
        <f t="shared" si="13"/>
        <v/>
      </c>
      <c r="Q74" s="13" t="str">
        <f t="shared" si="13"/>
        <v/>
      </c>
      <c r="R74" s="13" t="str">
        <f t="shared" si="13"/>
        <v/>
      </c>
      <c r="S74" s="13" t="str">
        <f t="shared" si="13"/>
        <v/>
      </c>
      <c r="T74" s="13" t="str">
        <f t="shared" si="13"/>
        <v/>
      </c>
      <c r="U74" s="13" t="str">
        <f t="shared" si="13"/>
        <v/>
      </c>
      <c r="V74" s="13" t="str">
        <f t="shared" ref="V74:AF83" si="14">IF(V$23=0,"",IF($F74=V$23,$C74,IF($G74=V$23,$C74,IF($H74=V$23,$C74,IF($I74=V$23,$C74,IF($J74=V$23,$C74,IF($K74=V$23,$C74,"")))))))</f>
        <v/>
      </c>
      <c r="W74" s="13" t="str">
        <f t="shared" si="14"/>
        <v/>
      </c>
      <c r="X74" s="13" t="str">
        <f t="shared" si="14"/>
        <v/>
      </c>
      <c r="Y74" s="13" t="str">
        <f t="shared" si="14"/>
        <v/>
      </c>
      <c r="Z74" s="13" t="str">
        <f t="shared" si="14"/>
        <v/>
      </c>
      <c r="AA74" s="13" t="str">
        <f t="shared" si="14"/>
        <v/>
      </c>
      <c r="AB74" s="13" t="str">
        <f t="shared" si="14"/>
        <v/>
      </c>
      <c r="AC74" s="13" t="str">
        <f t="shared" si="14"/>
        <v/>
      </c>
      <c r="AD74" s="13" t="str">
        <f t="shared" si="14"/>
        <v/>
      </c>
      <c r="AE74" s="13" t="str">
        <f t="shared" si="14"/>
        <v/>
      </c>
      <c r="AF74" s="13" t="str">
        <f t="shared" si="14"/>
        <v/>
      </c>
      <c r="AG74" s="37">
        <f t="shared" si="3"/>
        <v>0</v>
      </c>
      <c r="AH74" s="37">
        <f t="shared" si="10"/>
        <v>0</v>
      </c>
      <c r="AI74" s="37" t="e">
        <f>IF(E74&gt;0,AG74/Calculations!$AB$10,"")</f>
        <v>#DIV/0!</v>
      </c>
      <c r="AJ74" s="75"/>
      <c r="AK74" s="75"/>
      <c r="AL74" s="75"/>
      <c r="AM74" s="75"/>
      <c r="AN74" s="75"/>
      <c r="AO74" s="75"/>
      <c r="AP74" s="75"/>
      <c r="AQ74" s="75"/>
      <c r="AR74" s="75"/>
      <c r="AS74" s="75"/>
    </row>
    <row r="75" spans="1:45" s="74" customFormat="1" ht="13.8" x14ac:dyDescent="0.3">
      <c r="A75" s="55" t="s">
        <v>9</v>
      </c>
      <c r="B75" s="196" t="str">
        <f>B25</f>
        <v>NGN</v>
      </c>
      <c r="C75" s="4"/>
      <c r="D75" s="47"/>
      <c r="E75" s="139">
        <f>C16</f>
        <v>25</v>
      </c>
      <c r="F75" s="200" t="str">
        <f>IF($C$16&gt;COUNT($E75:E75)*$E75,COUNT($E75:E75)*$E75,"")</f>
        <v/>
      </c>
      <c r="G75" s="13" t="str">
        <f>IF($C$16&gt;COUNT($E75:F75)*$E75,COUNT($E75:F75)*$E75,"")</f>
        <v/>
      </c>
      <c r="H75" s="13" t="str">
        <f>IF($C$16&gt;COUNT($E75:G75)*$E75,COUNT($E75:G75)*$E75,"")</f>
        <v/>
      </c>
      <c r="I75" s="13" t="str">
        <f>IF($C$16&gt;COUNT($E75:H75)*$E75,COUNT($E75:H75)*$E75,"")</f>
        <v/>
      </c>
      <c r="J75" s="13" t="str">
        <f>IF($C$16&gt;COUNT($E75:I75)*$E75,COUNT($E75:I75)*$E75,"")</f>
        <v/>
      </c>
      <c r="K75" s="199" t="str">
        <f>IF($C$16&gt;COUNT($E75:J75)*$E75,COUNT($E75:J75)*$E75,"")</f>
        <v/>
      </c>
      <c r="L75" s="13" t="str">
        <f t="shared" si="13"/>
        <v/>
      </c>
      <c r="M75" s="13" t="str">
        <f t="shared" si="13"/>
        <v/>
      </c>
      <c r="N75" s="13" t="str">
        <f t="shared" si="13"/>
        <v/>
      </c>
      <c r="O75" s="13" t="str">
        <f t="shared" si="13"/>
        <v/>
      </c>
      <c r="P75" s="13" t="str">
        <f t="shared" si="13"/>
        <v/>
      </c>
      <c r="Q75" s="13" t="str">
        <f t="shared" si="13"/>
        <v/>
      </c>
      <c r="R75" s="13" t="str">
        <f t="shared" si="13"/>
        <v/>
      </c>
      <c r="S75" s="13" t="str">
        <f t="shared" si="13"/>
        <v/>
      </c>
      <c r="T75" s="13" t="str">
        <f t="shared" si="13"/>
        <v/>
      </c>
      <c r="U75" s="13" t="str">
        <f t="shared" si="13"/>
        <v/>
      </c>
      <c r="V75" s="13" t="str">
        <f t="shared" si="14"/>
        <v/>
      </c>
      <c r="W75" s="13" t="str">
        <f t="shared" si="14"/>
        <v/>
      </c>
      <c r="X75" s="13" t="str">
        <f t="shared" si="14"/>
        <v/>
      </c>
      <c r="Y75" s="13" t="str">
        <f t="shared" si="14"/>
        <v/>
      </c>
      <c r="Z75" s="13" t="str">
        <f t="shared" si="14"/>
        <v/>
      </c>
      <c r="AA75" s="13" t="str">
        <f t="shared" si="14"/>
        <v/>
      </c>
      <c r="AB75" s="13" t="str">
        <f t="shared" si="14"/>
        <v/>
      </c>
      <c r="AC75" s="13" t="str">
        <f t="shared" si="14"/>
        <v/>
      </c>
      <c r="AD75" s="13" t="str">
        <f t="shared" si="14"/>
        <v/>
      </c>
      <c r="AE75" s="13" t="str">
        <f t="shared" si="14"/>
        <v/>
      </c>
      <c r="AF75" s="13" t="str">
        <f t="shared" si="14"/>
        <v/>
      </c>
      <c r="AG75" s="37">
        <f>IF(E75&gt;0,C75/E75*$C$16,C75)</f>
        <v>0</v>
      </c>
      <c r="AH75" s="37">
        <f t="shared" si="10"/>
        <v>0</v>
      </c>
      <c r="AI75" s="37" t="e">
        <f>IF(E75&gt;0,AG75/Calculations!$AB$10,"")</f>
        <v>#DIV/0!</v>
      </c>
      <c r="AJ75" s="75"/>
      <c r="AK75" s="75"/>
      <c r="AL75" s="75"/>
      <c r="AM75" s="75"/>
      <c r="AN75" s="75"/>
      <c r="AO75" s="75"/>
      <c r="AP75" s="75"/>
      <c r="AQ75" s="75"/>
      <c r="AR75" s="75"/>
      <c r="AS75" s="75"/>
    </row>
    <row r="76" spans="1:45" s="74" customFormat="1" ht="13.8" x14ac:dyDescent="0.3">
      <c r="A76" s="55" t="s">
        <v>37</v>
      </c>
      <c r="B76" s="196" t="str">
        <f>B25</f>
        <v>NGN</v>
      </c>
      <c r="C76" s="4"/>
      <c r="D76" s="47"/>
      <c r="E76" s="139">
        <f>C16</f>
        <v>25</v>
      </c>
      <c r="F76" s="200" t="str">
        <f>IF($C$16&gt;COUNT($E76:E76)*$E76,COUNT($E76:E76)*$E76,"")</f>
        <v/>
      </c>
      <c r="G76" s="13" t="str">
        <f>IF($C$16&gt;COUNT($E76:F76)*$E76,COUNT($E76:F76)*$E76,"")</f>
        <v/>
      </c>
      <c r="H76" s="13" t="str">
        <f>IF($C$16&gt;COUNT($E76:G76)*$E76,COUNT($E76:G76)*$E76,"")</f>
        <v/>
      </c>
      <c r="I76" s="13" t="str">
        <f>IF($C$16&gt;COUNT($E76:H76)*$E76,COUNT($E76:H76)*$E76,"")</f>
        <v/>
      </c>
      <c r="J76" s="13" t="str">
        <f>IF($C$16&gt;COUNT($E76:I76)*$E76,COUNT($E76:I76)*$E76,"")</f>
        <v/>
      </c>
      <c r="K76" s="199" t="str">
        <f>IF($C$16&gt;COUNT($E76:J76)*$E76,COUNT($E76:J76)*$E76,"")</f>
        <v/>
      </c>
      <c r="L76" s="13" t="str">
        <f t="shared" si="13"/>
        <v/>
      </c>
      <c r="M76" s="13" t="str">
        <f t="shared" si="13"/>
        <v/>
      </c>
      <c r="N76" s="13" t="str">
        <f t="shared" si="13"/>
        <v/>
      </c>
      <c r="O76" s="13" t="str">
        <f t="shared" si="13"/>
        <v/>
      </c>
      <c r="P76" s="13" t="str">
        <f t="shared" si="13"/>
        <v/>
      </c>
      <c r="Q76" s="13" t="str">
        <f t="shared" si="13"/>
        <v/>
      </c>
      <c r="R76" s="13" t="str">
        <f t="shared" si="13"/>
        <v/>
      </c>
      <c r="S76" s="13" t="str">
        <f t="shared" si="13"/>
        <v/>
      </c>
      <c r="T76" s="13" t="str">
        <f t="shared" si="13"/>
        <v/>
      </c>
      <c r="U76" s="13" t="str">
        <f t="shared" si="13"/>
        <v/>
      </c>
      <c r="V76" s="13" t="str">
        <f t="shared" si="14"/>
        <v/>
      </c>
      <c r="W76" s="13" t="str">
        <f t="shared" si="14"/>
        <v/>
      </c>
      <c r="X76" s="13" t="str">
        <f t="shared" si="14"/>
        <v/>
      </c>
      <c r="Y76" s="13" t="str">
        <f t="shared" si="14"/>
        <v/>
      </c>
      <c r="Z76" s="13" t="str">
        <f t="shared" si="14"/>
        <v/>
      </c>
      <c r="AA76" s="13" t="str">
        <f t="shared" si="14"/>
        <v/>
      </c>
      <c r="AB76" s="13" t="str">
        <f t="shared" si="14"/>
        <v/>
      </c>
      <c r="AC76" s="13" t="str">
        <f t="shared" si="14"/>
        <v/>
      </c>
      <c r="AD76" s="13" t="str">
        <f t="shared" si="14"/>
        <v/>
      </c>
      <c r="AE76" s="13" t="str">
        <f t="shared" si="14"/>
        <v/>
      </c>
      <c r="AF76" s="13" t="str">
        <f t="shared" si="14"/>
        <v/>
      </c>
      <c r="AG76" s="37">
        <f t="shared" si="3"/>
        <v>0</v>
      </c>
      <c r="AH76" s="37">
        <f t="shared" si="10"/>
        <v>0</v>
      </c>
      <c r="AI76" s="37" t="e">
        <f>IF(E76&gt;0,AG76/Calculations!$AB$10,"")</f>
        <v>#DIV/0!</v>
      </c>
      <c r="AJ76" s="75"/>
      <c r="AK76" s="75"/>
      <c r="AL76" s="75"/>
      <c r="AM76" s="75"/>
      <c r="AN76" s="75"/>
      <c r="AO76" s="75"/>
      <c r="AP76" s="75"/>
      <c r="AQ76" s="75"/>
      <c r="AR76" s="75"/>
      <c r="AS76" s="75"/>
    </row>
    <row r="77" spans="1:45" s="74" customFormat="1" ht="13.8" x14ac:dyDescent="0.3">
      <c r="A77" s="55" t="s">
        <v>11</v>
      </c>
      <c r="B77" s="196" t="str">
        <f>B25</f>
        <v>NGN</v>
      </c>
      <c r="C77" s="4"/>
      <c r="D77" s="47"/>
      <c r="E77" s="139">
        <f>C16</f>
        <v>25</v>
      </c>
      <c r="F77" s="200" t="str">
        <f>IF($C$16&gt;COUNT($E77:E77)*$E77,COUNT($E77:E77)*$E77,"")</f>
        <v/>
      </c>
      <c r="G77" s="13" t="str">
        <f>IF($C$16&gt;COUNT($E77:F77)*$E77,COUNT($E77:F77)*$E77,"")</f>
        <v/>
      </c>
      <c r="H77" s="13" t="str">
        <f>IF($C$16&gt;COUNT($E77:G77)*$E77,COUNT($E77:G77)*$E77,"")</f>
        <v/>
      </c>
      <c r="I77" s="13" t="str">
        <f>IF($C$16&gt;COUNT($E77:H77)*$E77,COUNT($E77:H77)*$E77,"")</f>
        <v/>
      </c>
      <c r="J77" s="13" t="str">
        <f>IF($C$16&gt;COUNT($E77:I77)*$E77,COUNT($E77:I77)*$E77,"")</f>
        <v/>
      </c>
      <c r="K77" s="199" t="str">
        <f>IF($C$16&gt;COUNT($E77:J77)*$E77,COUNT($E77:J77)*$E77,"")</f>
        <v/>
      </c>
      <c r="L77" s="13" t="str">
        <f t="shared" si="13"/>
        <v/>
      </c>
      <c r="M77" s="13" t="str">
        <f t="shared" si="13"/>
        <v/>
      </c>
      <c r="N77" s="13" t="str">
        <f t="shared" si="13"/>
        <v/>
      </c>
      <c r="O77" s="13" t="str">
        <f t="shared" si="13"/>
        <v/>
      </c>
      <c r="P77" s="13" t="str">
        <f t="shared" si="13"/>
        <v/>
      </c>
      <c r="Q77" s="13" t="str">
        <f t="shared" si="13"/>
        <v/>
      </c>
      <c r="R77" s="13" t="str">
        <f t="shared" si="13"/>
        <v/>
      </c>
      <c r="S77" s="13" t="str">
        <f t="shared" si="13"/>
        <v/>
      </c>
      <c r="T77" s="13" t="str">
        <f t="shared" si="13"/>
        <v/>
      </c>
      <c r="U77" s="13" t="str">
        <f t="shared" si="13"/>
        <v/>
      </c>
      <c r="V77" s="13" t="str">
        <f t="shared" si="14"/>
        <v/>
      </c>
      <c r="W77" s="13" t="str">
        <f t="shared" si="14"/>
        <v/>
      </c>
      <c r="X77" s="13" t="str">
        <f t="shared" si="14"/>
        <v/>
      </c>
      <c r="Y77" s="13" t="str">
        <f t="shared" si="14"/>
        <v/>
      </c>
      <c r="Z77" s="13" t="str">
        <f t="shared" si="14"/>
        <v/>
      </c>
      <c r="AA77" s="13" t="str">
        <f t="shared" si="14"/>
        <v/>
      </c>
      <c r="AB77" s="13" t="str">
        <f t="shared" si="14"/>
        <v/>
      </c>
      <c r="AC77" s="13" t="str">
        <f t="shared" si="14"/>
        <v/>
      </c>
      <c r="AD77" s="13" t="str">
        <f t="shared" si="14"/>
        <v/>
      </c>
      <c r="AE77" s="13" t="str">
        <f t="shared" si="14"/>
        <v/>
      </c>
      <c r="AF77" s="13" t="str">
        <f t="shared" si="14"/>
        <v/>
      </c>
      <c r="AG77" s="37">
        <f t="shared" si="3"/>
        <v>0</v>
      </c>
      <c r="AH77" s="37">
        <f t="shared" si="10"/>
        <v>0</v>
      </c>
      <c r="AI77" s="37" t="e">
        <f>IF(E77&gt;0,AG77/Calculations!$AB$10,"")</f>
        <v>#DIV/0!</v>
      </c>
      <c r="AJ77" s="75"/>
      <c r="AK77" s="75"/>
      <c r="AL77" s="75"/>
      <c r="AM77" s="75"/>
      <c r="AN77" s="75"/>
      <c r="AO77" s="75"/>
      <c r="AP77" s="75"/>
      <c r="AQ77" s="75"/>
      <c r="AR77" s="75"/>
      <c r="AS77" s="75"/>
    </row>
    <row r="78" spans="1:45" s="74" customFormat="1" ht="13.8" x14ac:dyDescent="0.3">
      <c r="A78" s="55"/>
      <c r="B78" s="196" t="str">
        <f>B25</f>
        <v>NGN</v>
      </c>
      <c r="C78" s="4"/>
      <c r="D78" s="47"/>
      <c r="E78" s="139">
        <f>C16</f>
        <v>25</v>
      </c>
      <c r="F78" s="200"/>
      <c r="G78" s="13"/>
      <c r="H78" s="13"/>
      <c r="I78" s="13"/>
      <c r="J78" s="13"/>
      <c r="K78" s="199" t="str">
        <f>IF($C$16&gt;COUNT($E78:J78)*$E78,COUNT($E78:J78)*$E78,"")</f>
        <v/>
      </c>
      <c r="L78" s="13" t="str">
        <f t="shared" si="13"/>
        <v/>
      </c>
      <c r="M78" s="13" t="str">
        <f t="shared" si="13"/>
        <v/>
      </c>
      <c r="N78" s="13" t="str">
        <f t="shared" si="13"/>
        <v/>
      </c>
      <c r="O78" s="13" t="str">
        <f t="shared" si="13"/>
        <v/>
      </c>
      <c r="P78" s="13" t="str">
        <f t="shared" si="13"/>
        <v/>
      </c>
      <c r="Q78" s="13" t="str">
        <f t="shared" si="13"/>
        <v/>
      </c>
      <c r="R78" s="13" t="str">
        <f t="shared" si="13"/>
        <v/>
      </c>
      <c r="S78" s="13" t="str">
        <f t="shared" si="13"/>
        <v/>
      </c>
      <c r="T78" s="13" t="str">
        <f t="shared" si="13"/>
        <v/>
      </c>
      <c r="U78" s="13" t="str">
        <f t="shared" si="13"/>
        <v/>
      </c>
      <c r="V78" s="13" t="str">
        <f t="shared" si="14"/>
        <v/>
      </c>
      <c r="W78" s="13" t="str">
        <f t="shared" si="14"/>
        <v/>
      </c>
      <c r="X78" s="13" t="str">
        <f t="shared" si="14"/>
        <v/>
      </c>
      <c r="Y78" s="13" t="str">
        <f t="shared" si="14"/>
        <v/>
      </c>
      <c r="Z78" s="13" t="str">
        <f t="shared" si="14"/>
        <v/>
      </c>
      <c r="AA78" s="13" t="str">
        <f t="shared" si="14"/>
        <v/>
      </c>
      <c r="AB78" s="13" t="str">
        <f t="shared" si="14"/>
        <v/>
      </c>
      <c r="AC78" s="13" t="str">
        <f t="shared" si="14"/>
        <v/>
      </c>
      <c r="AD78" s="13" t="str">
        <f t="shared" si="14"/>
        <v/>
      </c>
      <c r="AE78" s="13" t="str">
        <f t="shared" si="14"/>
        <v/>
      </c>
      <c r="AF78" s="13" t="str">
        <f t="shared" si="14"/>
        <v/>
      </c>
      <c r="AG78" s="37">
        <f t="shared" si="3"/>
        <v>0</v>
      </c>
      <c r="AH78" s="37">
        <f t="shared" si="10"/>
        <v>0</v>
      </c>
      <c r="AI78" s="37" t="e">
        <f>IF(E78&gt;0,AG78/Calculations!$AB$10,"")</f>
        <v>#DIV/0!</v>
      </c>
      <c r="AJ78" s="75"/>
      <c r="AK78" s="75"/>
      <c r="AL78" s="75"/>
      <c r="AM78" s="75"/>
      <c r="AN78" s="75"/>
      <c r="AO78" s="75"/>
      <c r="AP78" s="75"/>
      <c r="AQ78" s="75"/>
      <c r="AR78" s="75"/>
      <c r="AS78" s="75"/>
    </row>
    <row r="79" spans="1:45" s="74" customFormat="1" ht="13.8" x14ac:dyDescent="0.3">
      <c r="A79" s="55"/>
      <c r="B79" s="196" t="str">
        <f>B25</f>
        <v>NGN</v>
      </c>
      <c r="C79" s="4"/>
      <c r="D79" s="47"/>
      <c r="E79" s="139">
        <f>C16</f>
        <v>25</v>
      </c>
      <c r="F79" s="200"/>
      <c r="G79" s="13"/>
      <c r="H79" s="13"/>
      <c r="I79" s="13"/>
      <c r="J79" s="13"/>
      <c r="K79" s="199" t="str">
        <f>IF($C$16&gt;COUNT($E79:J79)*$E79,COUNT($E79:J79)*$E79,"")</f>
        <v/>
      </c>
      <c r="L79" s="13" t="str">
        <f t="shared" si="13"/>
        <v/>
      </c>
      <c r="M79" s="13" t="str">
        <f t="shared" si="13"/>
        <v/>
      </c>
      <c r="N79" s="13" t="str">
        <f t="shared" si="13"/>
        <v/>
      </c>
      <c r="O79" s="13" t="str">
        <f t="shared" si="13"/>
        <v/>
      </c>
      <c r="P79" s="13" t="str">
        <f t="shared" si="13"/>
        <v/>
      </c>
      <c r="Q79" s="13" t="str">
        <f t="shared" si="13"/>
        <v/>
      </c>
      <c r="R79" s="13" t="str">
        <f t="shared" si="13"/>
        <v/>
      </c>
      <c r="S79" s="13" t="str">
        <f t="shared" si="13"/>
        <v/>
      </c>
      <c r="T79" s="13" t="str">
        <f t="shared" si="13"/>
        <v/>
      </c>
      <c r="U79" s="13" t="str">
        <f t="shared" si="13"/>
        <v/>
      </c>
      <c r="V79" s="13" t="str">
        <f t="shared" si="14"/>
        <v/>
      </c>
      <c r="W79" s="13" t="str">
        <f t="shared" si="14"/>
        <v/>
      </c>
      <c r="X79" s="13" t="str">
        <f t="shared" si="14"/>
        <v/>
      </c>
      <c r="Y79" s="13" t="str">
        <f t="shared" si="14"/>
        <v/>
      </c>
      <c r="Z79" s="13" t="str">
        <f t="shared" si="14"/>
        <v/>
      </c>
      <c r="AA79" s="13" t="str">
        <f t="shared" si="14"/>
        <v/>
      </c>
      <c r="AB79" s="13" t="str">
        <f t="shared" si="14"/>
        <v/>
      </c>
      <c r="AC79" s="13" t="str">
        <f t="shared" si="14"/>
        <v/>
      </c>
      <c r="AD79" s="13" t="str">
        <f t="shared" si="14"/>
        <v/>
      </c>
      <c r="AE79" s="13" t="str">
        <f t="shared" si="14"/>
        <v/>
      </c>
      <c r="AF79" s="13" t="str">
        <f t="shared" si="14"/>
        <v/>
      </c>
      <c r="AG79" s="37">
        <f t="shared" si="3"/>
        <v>0</v>
      </c>
      <c r="AH79" s="37">
        <f t="shared" si="10"/>
        <v>0</v>
      </c>
      <c r="AI79" s="37" t="e">
        <f>IF(E79&gt;0,AG79/Calculations!$AB$10,"")</f>
        <v>#DIV/0!</v>
      </c>
      <c r="AJ79" s="75"/>
      <c r="AK79" s="75"/>
      <c r="AL79" s="75"/>
      <c r="AM79" s="75"/>
      <c r="AN79" s="75"/>
      <c r="AO79" s="75"/>
      <c r="AP79" s="75"/>
      <c r="AQ79" s="75"/>
      <c r="AR79" s="75"/>
      <c r="AS79" s="75"/>
    </row>
    <row r="80" spans="1:45" s="47" customFormat="1" x14ac:dyDescent="0.3">
      <c r="A80" s="585" t="s">
        <v>226</v>
      </c>
      <c r="B80" s="586"/>
      <c r="C80" s="587"/>
      <c r="E80" s="495"/>
      <c r="F80" s="200"/>
      <c r="G80" s="13"/>
      <c r="H80" s="13"/>
      <c r="I80" s="13"/>
      <c r="J80" s="13"/>
      <c r="K80" s="199"/>
      <c r="L80" s="13" t="str">
        <f t="shared" si="13"/>
        <v/>
      </c>
      <c r="M80" s="13" t="str">
        <f t="shared" si="13"/>
        <v/>
      </c>
      <c r="N80" s="13" t="str">
        <f t="shared" si="13"/>
        <v/>
      </c>
      <c r="O80" s="13" t="str">
        <f t="shared" si="13"/>
        <v/>
      </c>
      <c r="P80" s="13" t="str">
        <f t="shared" si="13"/>
        <v/>
      </c>
      <c r="Q80" s="13" t="str">
        <f t="shared" si="13"/>
        <v/>
      </c>
      <c r="R80" s="13" t="str">
        <f t="shared" si="13"/>
        <v/>
      </c>
      <c r="S80" s="13" t="str">
        <f t="shared" si="13"/>
        <v/>
      </c>
      <c r="T80" s="13" t="str">
        <f t="shared" si="13"/>
        <v/>
      </c>
      <c r="U80" s="13" t="str">
        <f t="shared" si="13"/>
        <v/>
      </c>
      <c r="V80" s="13" t="str">
        <f t="shared" si="14"/>
        <v/>
      </c>
      <c r="W80" s="13" t="str">
        <f t="shared" si="14"/>
        <v/>
      </c>
      <c r="X80" s="13" t="str">
        <f t="shared" si="14"/>
        <v/>
      </c>
      <c r="Y80" s="13" t="str">
        <f t="shared" si="14"/>
        <v/>
      </c>
      <c r="Z80" s="13" t="str">
        <f t="shared" si="14"/>
        <v/>
      </c>
      <c r="AA80" s="13" t="str">
        <f t="shared" si="14"/>
        <v/>
      </c>
      <c r="AB80" s="13" t="str">
        <f t="shared" si="14"/>
        <v/>
      </c>
      <c r="AC80" s="13" t="str">
        <f t="shared" si="14"/>
        <v/>
      </c>
      <c r="AD80" s="13" t="str">
        <f t="shared" si="14"/>
        <v/>
      </c>
      <c r="AE80" s="13" t="str">
        <f t="shared" si="14"/>
        <v/>
      </c>
      <c r="AF80" s="13" t="str">
        <f t="shared" si="14"/>
        <v/>
      </c>
      <c r="AG80" s="37">
        <f>IF(E80&gt;0,C80/E80*$C$16,C80)</f>
        <v>0</v>
      </c>
      <c r="AH80" s="37" t="str">
        <f t="shared" si="10"/>
        <v/>
      </c>
      <c r="AI80" s="37" t="str">
        <f>IF(E80&gt;0,AG80/Calculations!$AB$10,"")</f>
        <v/>
      </c>
      <c r="AJ80" s="61"/>
      <c r="AK80" s="61"/>
      <c r="AL80" s="61"/>
      <c r="AM80" s="61"/>
      <c r="AN80" s="61"/>
      <c r="AO80" s="61"/>
      <c r="AP80" s="61"/>
      <c r="AQ80" s="61"/>
      <c r="AR80" s="61"/>
      <c r="AS80" s="61"/>
    </row>
    <row r="81" spans="1:45" s="74" customFormat="1" ht="13.8" x14ac:dyDescent="0.3">
      <c r="A81" s="55" t="s">
        <v>28</v>
      </c>
      <c r="B81" s="196" t="str">
        <f>B25</f>
        <v>NGN</v>
      </c>
      <c r="C81" s="4"/>
      <c r="D81" s="47"/>
      <c r="E81" s="139">
        <f>C16</f>
        <v>25</v>
      </c>
      <c r="F81" s="200" t="str">
        <f>IF($C$16&gt;COUNT($E81:E81)*$E81,COUNT($E81:E81)*$E81,"")</f>
        <v/>
      </c>
      <c r="G81" s="13" t="str">
        <f>IF($C$16&gt;COUNT($E81:F81)*$E81,COUNT($E81:F81)*$E81,"")</f>
        <v/>
      </c>
      <c r="H81" s="13" t="str">
        <f>IF($C$16&gt;COUNT($E81:G81)*$E81,COUNT($E81:G81)*$E81,"")</f>
        <v/>
      </c>
      <c r="I81" s="13" t="str">
        <f>IF($C$16&gt;COUNT($E81:H81)*$E81,COUNT($E81:H81)*$E81,"")</f>
        <v/>
      </c>
      <c r="J81" s="13" t="str">
        <f>IF($C$16&gt;COUNT($E81:I81)*$E81,COUNT($E81:I81)*$E81,"")</f>
        <v/>
      </c>
      <c r="K81" s="199" t="str">
        <f>IF($C$16&gt;COUNT($E81:J81)*$E81,COUNT($E81:J81)*$E81,"")</f>
        <v/>
      </c>
      <c r="L81" s="13" t="str">
        <f t="shared" si="13"/>
        <v/>
      </c>
      <c r="M81" s="13" t="str">
        <f t="shared" si="13"/>
        <v/>
      </c>
      <c r="N81" s="13" t="str">
        <f t="shared" si="13"/>
        <v/>
      </c>
      <c r="O81" s="13" t="str">
        <f t="shared" si="13"/>
        <v/>
      </c>
      <c r="P81" s="13" t="str">
        <f t="shared" si="13"/>
        <v/>
      </c>
      <c r="Q81" s="13" t="str">
        <f t="shared" si="13"/>
        <v/>
      </c>
      <c r="R81" s="13" t="str">
        <f t="shared" si="13"/>
        <v/>
      </c>
      <c r="S81" s="13" t="str">
        <f t="shared" si="13"/>
        <v/>
      </c>
      <c r="T81" s="13" t="str">
        <f t="shared" si="13"/>
        <v/>
      </c>
      <c r="U81" s="13" t="str">
        <f t="shared" si="13"/>
        <v/>
      </c>
      <c r="V81" s="13" t="str">
        <f t="shared" si="14"/>
        <v/>
      </c>
      <c r="W81" s="13" t="str">
        <f t="shared" si="14"/>
        <v/>
      </c>
      <c r="X81" s="13" t="str">
        <f t="shared" si="14"/>
        <v/>
      </c>
      <c r="Y81" s="13" t="str">
        <f t="shared" si="14"/>
        <v/>
      </c>
      <c r="Z81" s="13" t="str">
        <f t="shared" si="14"/>
        <v/>
      </c>
      <c r="AA81" s="13" t="str">
        <f t="shared" si="14"/>
        <v/>
      </c>
      <c r="AB81" s="13" t="str">
        <f t="shared" si="14"/>
        <v/>
      </c>
      <c r="AC81" s="13" t="str">
        <f t="shared" si="14"/>
        <v/>
      </c>
      <c r="AD81" s="13" t="str">
        <f t="shared" si="14"/>
        <v/>
      </c>
      <c r="AE81" s="13" t="str">
        <f t="shared" si="14"/>
        <v/>
      </c>
      <c r="AF81" s="13" t="str">
        <f t="shared" si="14"/>
        <v/>
      </c>
      <c r="AG81" s="37">
        <f t="shared" si="3"/>
        <v>0</v>
      </c>
      <c r="AH81" s="37">
        <f t="shared" si="10"/>
        <v>0</v>
      </c>
      <c r="AI81" s="37" t="e">
        <f>IF(E81&gt;0,AG81/Calculations!$AB$10,"")</f>
        <v>#DIV/0!</v>
      </c>
      <c r="AJ81" s="75"/>
      <c r="AK81" s="75"/>
      <c r="AL81" s="75"/>
      <c r="AM81" s="75"/>
      <c r="AN81" s="75"/>
      <c r="AO81" s="75"/>
      <c r="AP81" s="75"/>
      <c r="AQ81" s="75"/>
      <c r="AR81" s="75"/>
      <c r="AS81" s="75"/>
    </row>
    <row r="82" spans="1:45" s="74" customFormat="1" ht="13.8" x14ac:dyDescent="0.3">
      <c r="A82" s="55" t="s">
        <v>44</v>
      </c>
      <c r="B82" s="196" t="str">
        <f>B25</f>
        <v>NGN</v>
      </c>
      <c r="C82" s="4"/>
      <c r="D82" s="47"/>
      <c r="E82" s="139"/>
      <c r="F82" s="200"/>
      <c r="G82" s="13"/>
      <c r="H82" s="13"/>
      <c r="I82" s="13"/>
      <c r="J82" s="13"/>
      <c r="K82" s="199"/>
      <c r="L82" s="13" t="str">
        <f t="shared" si="13"/>
        <v/>
      </c>
      <c r="M82" s="13" t="str">
        <f t="shared" si="13"/>
        <v/>
      </c>
      <c r="N82" s="13" t="str">
        <f t="shared" si="13"/>
        <v/>
      </c>
      <c r="O82" s="13" t="str">
        <f t="shared" si="13"/>
        <v/>
      </c>
      <c r="P82" s="13" t="str">
        <f t="shared" si="13"/>
        <v/>
      </c>
      <c r="Q82" s="13" t="str">
        <f t="shared" si="13"/>
        <v/>
      </c>
      <c r="R82" s="13" t="str">
        <f t="shared" si="13"/>
        <v/>
      </c>
      <c r="S82" s="13" t="str">
        <f t="shared" si="13"/>
        <v/>
      </c>
      <c r="T82" s="13" t="str">
        <f t="shared" si="13"/>
        <v/>
      </c>
      <c r="U82" s="13" t="str">
        <f t="shared" si="13"/>
        <v/>
      </c>
      <c r="V82" s="13" t="str">
        <f t="shared" si="14"/>
        <v/>
      </c>
      <c r="W82" s="13" t="str">
        <f t="shared" si="14"/>
        <v/>
      </c>
      <c r="X82" s="13" t="str">
        <f t="shared" si="14"/>
        <v/>
      </c>
      <c r="Y82" s="13" t="str">
        <f t="shared" si="14"/>
        <v/>
      </c>
      <c r="Z82" s="13" t="str">
        <f t="shared" si="14"/>
        <v/>
      </c>
      <c r="AA82" s="13" t="str">
        <f t="shared" si="14"/>
        <v/>
      </c>
      <c r="AB82" s="13" t="str">
        <f t="shared" si="14"/>
        <v/>
      </c>
      <c r="AC82" s="13" t="str">
        <f t="shared" si="14"/>
        <v/>
      </c>
      <c r="AD82" s="13" t="str">
        <f t="shared" si="14"/>
        <v/>
      </c>
      <c r="AE82" s="13" t="str">
        <f t="shared" si="14"/>
        <v/>
      </c>
      <c r="AF82" s="13" t="str">
        <f t="shared" si="14"/>
        <v/>
      </c>
      <c r="AG82" s="37">
        <f t="shared" si="3"/>
        <v>0</v>
      </c>
      <c r="AH82" s="37" t="str">
        <f t="shared" si="10"/>
        <v/>
      </c>
      <c r="AI82" s="37" t="str">
        <f>IF(E82&gt;0,AG82/Calculations!$AB$10,"")</f>
        <v/>
      </c>
      <c r="AJ82" s="75"/>
      <c r="AK82" s="75"/>
      <c r="AL82" s="75"/>
      <c r="AM82" s="75"/>
      <c r="AN82" s="75"/>
      <c r="AO82" s="75"/>
      <c r="AP82" s="75"/>
      <c r="AQ82" s="75"/>
      <c r="AR82" s="75"/>
      <c r="AS82" s="75"/>
    </row>
    <row r="83" spans="1:45" s="74" customFormat="1" ht="13.8" x14ac:dyDescent="0.3">
      <c r="A83" s="55" t="s">
        <v>227</v>
      </c>
      <c r="B83" s="196" t="str">
        <f>B25</f>
        <v>NGN</v>
      </c>
      <c r="C83" s="4"/>
      <c r="D83" s="47"/>
      <c r="E83" s="139">
        <f>C16</f>
        <v>25</v>
      </c>
      <c r="F83" s="200" t="str">
        <f>IF($C$16&gt;COUNT($E83:E83)*$E83,COUNT($E83:E83)*$E83,"")</f>
        <v/>
      </c>
      <c r="G83" s="13" t="str">
        <f>IF($C$16&gt;COUNT($E83:F83)*$E83,COUNT($E83:F83)*$E83,"")</f>
        <v/>
      </c>
      <c r="H83" s="13" t="str">
        <f>IF($C$16&gt;COUNT($E83:G83)*$E83,COUNT($E83:G83)*$E83,"")</f>
        <v/>
      </c>
      <c r="I83" s="13" t="str">
        <f>IF($C$16&gt;COUNT($E83:H83)*$E83,COUNT($E83:H83)*$E83,"")</f>
        <v/>
      </c>
      <c r="J83" s="13" t="str">
        <f>IF($C$16&gt;COUNT($E83:I83)*$E83,COUNT($E83:I83)*$E83,"")</f>
        <v/>
      </c>
      <c r="K83" s="199" t="str">
        <f>IF($C$16&gt;COUNT($E83:J83)*$E83,COUNT($E83:J83)*$E83,"")</f>
        <v/>
      </c>
      <c r="L83" s="13" t="str">
        <f t="shared" si="13"/>
        <v/>
      </c>
      <c r="M83" s="13" t="str">
        <f t="shared" si="13"/>
        <v/>
      </c>
      <c r="N83" s="13" t="str">
        <f t="shared" si="13"/>
        <v/>
      </c>
      <c r="O83" s="13" t="str">
        <f t="shared" si="13"/>
        <v/>
      </c>
      <c r="P83" s="13" t="str">
        <f t="shared" si="13"/>
        <v/>
      </c>
      <c r="Q83" s="13" t="str">
        <f t="shared" si="13"/>
        <v/>
      </c>
      <c r="R83" s="13" t="str">
        <f t="shared" si="13"/>
        <v/>
      </c>
      <c r="S83" s="13" t="str">
        <f t="shared" si="13"/>
        <v/>
      </c>
      <c r="T83" s="13" t="str">
        <f t="shared" si="13"/>
        <v/>
      </c>
      <c r="U83" s="13" t="str">
        <f t="shared" si="13"/>
        <v/>
      </c>
      <c r="V83" s="13" t="str">
        <f t="shared" si="14"/>
        <v/>
      </c>
      <c r="W83" s="13" t="str">
        <f t="shared" si="14"/>
        <v/>
      </c>
      <c r="X83" s="13" t="str">
        <f t="shared" si="14"/>
        <v/>
      </c>
      <c r="Y83" s="13" t="str">
        <f t="shared" si="14"/>
        <v/>
      </c>
      <c r="Z83" s="13" t="str">
        <f t="shared" si="14"/>
        <v/>
      </c>
      <c r="AA83" s="13" t="str">
        <f t="shared" si="14"/>
        <v/>
      </c>
      <c r="AB83" s="13" t="str">
        <f t="shared" si="14"/>
        <v/>
      </c>
      <c r="AC83" s="13" t="str">
        <f t="shared" si="14"/>
        <v/>
      </c>
      <c r="AD83" s="13" t="str">
        <f t="shared" si="14"/>
        <v/>
      </c>
      <c r="AE83" s="13" t="str">
        <f t="shared" si="14"/>
        <v/>
      </c>
      <c r="AF83" s="13" t="str">
        <f t="shared" si="14"/>
        <v/>
      </c>
      <c r="AG83" s="37">
        <f t="shared" si="3"/>
        <v>0</v>
      </c>
      <c r="AH83" s="37">
        <f t="shared" si="10"/>
        <v>0</v>
      </c>
      <c r="AI83" s="37" t="e">
        <f>IF(E83&gt;0,AG83/Calculations!$AB$10,"")</f>
        <v>#DIV/0!</v>
      </c>
      <c r="AJ83" s="75"/>
      <c r="AK83" s="75"/>
      <c r="AL83" s="75"/>
      <c r="AM83" s="75"/>
      <c r="AN83" s="75"/>
      <c r="AO83" s="75"/>
      <c r="AP83" s="75"/>
      <c r="AQ83" s="75"/>
      <c r="AR83" s="75"/>
      <c r="AS83" s="75"/>
    </row>
    <row r="84" spans="1:45" s="74" customFormat="1" ht="13.8" x14ac:dyDescent="0.3">
      <c r="A84" s="55" t="s">
        <v>229</v>
      </c>
      <c r="B84" s="196" t="str">
        <f>B25</f>
        <v>NGN</v>
      </c>
      <c r="C84" s="4"/>
      <c r="D84" s="47"/>
      <c r="E84" s="139">
        <f>C16</f>
        <v>25</v>
      </c>
      <c r="F84" s="200" t="str">
        <f>IF($C$16&gt;COUNT($E84:E84)*$E84,COUNT($E84:E84)*$E84,"")</f>
        <v/>
      </c>
      <c r="G84" s="13" t="str">
        <f>IF($C$16&gt;COUNT($E84:F84)*$E84,COUNT($E84:F84)*$E84,"")</f>
        <v/>
      </c>
      <c r="H84" s="13" t="str">
        <f>IF($C$16&gt;COUNT($E84:G84)*$E84,COUNT($E84:G84)*$E84,"")</f>
        <v/>
      </c>
      <c r="I84" s="13" t="str">
        <f>IF($C$16&gt;COUNT($E84:H84)*$E84,COUNT($E84:H84)*$E84,"")</f>
        <v/>
      </c>
      <c r="J84" s="13" t="str">
        <f>IF($C$16&gt;COUNT($E84:I84)*$E84,COUNT($E84:I84)*$E84,"")</f>
        <v/>
      </c>
      <c r="K84" s="199" t="str">
        <f>IF($C$16&gt;COUNT($E84:J84)*$E84,COUNT($E84:J84)*$E84,"")</f>
        <v/>
      </c>
      <c r="L84" s="13" t="str">
        <f t="shared" ref="L84:U93" si="15">IF(L$23=0,"",IF($F84=L$23,$C84,IF($G84=L$23,$C84,IF($H84=L$23,$C84,IF($I84=L$23,$C84,IF($J84=L$23,$C84,IF($K84=L$23,$C84,"")))))))</f>
        <v/>
      </c>
      <c r="M84" s="13" t="str">
        <f t="shared" si="15"/>
        <v/>
      </c>
      <c r="N84" s="13" t="str">
        <f t="shared" si="15"/>
        <v/>
      </c>
      <c r="O84" s="13" t="str">
        <f t="shared" si="15"/>
        <v/>
      </c>
      <c r="P84" s="13" t="str">
        <f t="shared" si="15"/>
        <v/>
      </c>
      <c r="Q84" s="13" t="str">
        <f t="shared" si="15"/>
        <v/>
      </c>
      <c r="R84" s="13" t="str">
        <f t="shared" si="15"/>
        <v/>
      </c>
      <c r="S84" s="13" t="str">
        <f t="shared" si="15"/>
        <v/>
      </c>
      <c r="T84" s="13" t="str">
        <f t="shared" si="15"/>
        <v/>
      </c>
      <c r="U84" s="13" t="str">
        <f t="shared" si="15"/>
        <v/>
      </c>
      <c r="V84" s="13" t="str">
        <f t="shared" ref="V84:AF93" si="16">IF(V$23=0,"",IF($F84=V$23,$C84,IF($G84=V$23,$C84,IF($H84=V$23,$C84,IF($I84=V$23,$C84,IF($J84=V$23,$C84,IF($K84=V$23,$C84,"")))))))</f>
        <v/>
      </c>
      <c r="W84" s="13" t="str">
        <f t="shared" si="16"/>
        <v/>
      </c>
      <c r="X84" s="13" t="str">
        <f t="shared" si="16"/>
        <v/>
      </c>
      <c r="Y84" s="13" t="str">
        <f t="shared" si="16"/>
        <v/>
      </c>
      <c r="Z84" s="13" t="str">
        <f t="shared" si="16"/>
        <v/>
      </c>
      <c r="AA84" s="13" t="str">
        <f t="shared" si="16"/>
        <v/>
      </c>
      <c r="AB84" s="13" t="str">
        <f t="shared" si="16"/>
        <v/>
      </c>
      <c r="AC84" s="13" t="str">
        <f t="shared" si="16"/>
        <v/>
      </c>
      <c r="AD84" s="13" t="str">
        <f t="shared" si="16"/>
        <v/>
      </c>
      <c r="AE84" s="13" t="str">
        <f t="shared" si="16"/>
        <v/>
      </c>
      <c r="AF84" s="13" t="str">
        <f t="shared" si="16"/>
        <v/>
      </c>
      <c r="AG84" s="37">
        <f t="shared" si="3"/>
        <v>0</v>
      </c>
      <c r="AH84" s="37">
        <f t="shared" si="10"/>
        <v>0</v>
      </c>
      <c r="AI84" s="37" t="e">
        <f>IF(E84&gt;0,AG84/Calculations!$AB$10,"")</f>
        <v>#DIV/0!</v>
      </c>
      <c r="AJ84" s="75"/>
      <c r="AK84" s="75"/>
      <c r="AL84" s="75"/>
      <c r="AM84" s="75"/>
      <c r="AN84" s="75"/>
      <c r="AO84" s="75"/>
      <c r="AP84" s="75"/>
      <c r="AQ84" s="75"/>
      <c r="AR84" s="75"/>
      <c r="AS84" s="75"/>
    </row>
    <row r="85" spans="1:45" s="74" customFormat="1" ht="13.8" x14ac:dyDescent="0.3">
      <c r="A85" s="55" t="s">
        <v>228</v>
      </c>
      <c r="B85" s="196" t="str">
        <f>B25</f>
        <v>NGN</v>
      </c>
      <c r="C85" s="4"/>
      <c r="D85" s="47"/>
      <c r="E85" s="139">
        <f>C16</f>
        <v>25</v>
      </c>
      <c r="F85" s="200" t="str">
        <f>IF($C$16&gt;COUNT($E85:E85)*$E85,COUNT($E85:E85)*$E85,"")</f>
        <v/>
      </c>
      <c r="G85" s="13" t="str">
        <f>IF($C$16&gt;COUNT($E85:F85)*$E85,COUNT($E85:F85)*$E85,"")</f>
        <v/>
      </c>
      <c r="H85" s="13" t="str">
        <f>IF($C$16&gt;COUNT($E85:G85)*$E85,COUNT($E85:G85)*$E85,"")</f>
        <v/>
      </c>
      <c r="I85" s="13" t="str">
        <f>IF($C$16&gt;COUNT($E85:H85)*$E85,COUNT($E85:H85)*$E85,"")</f>
        <v/>
      </c>
      <c r="J85" s="13" t="str">
        <f>IF($C$16&gt;COUNT($E85:I85)*$E85,COUNT($E85:I85)*$E85,"")</f>
        <v/>
      </c>
      <c r="K85" s="199" t="str">
        <f>IF($C$16&gt;COUNT($E85:J85)*$E85,COUNT($E85:J85)*$E85,"")</f>
        <v/>
      </c>
      <c r="L85" s="13" t="str">
        <f t="shared" si="15"/>
        <v/>
      </c>
      <c r="M85" s="13" t="str">
        <f t="shared" si="15"/>
        <v/>
      </c>
      <c r="N85" s="13" t="str">
        <f t="shared" si="15"/>
        <v/>
      </c>
      <c r="O85" s="13" t="str">
        <f t="shared" si="15"/>
        <v/>
      </c>
      <c r="P85" s="13" t="str">
        <f t="shared" si="15"/>
        <v/>
      </c>
      <c r="Q85" s="13" t="str">
        <f t="shared" si="15"/>
        <v/>
      </c>
      <c r="R85" s="13" t="str">
        <f t="shared" si="15"/>
        <v/>
      </c>
      <c r="S85" s="13" t="str">
        <f t="shared" si="15"/>
        <v/>
      </c>
      <c r="T85" s="13" t="str">
        <f t="shared" si="15"/>
        <v/>
      </c>
      <c r="U85" s="13" t="str">
        <f t="shared" si="15"/>
        <v/>
      </c>
      <c r="V85" s="13" t="str">
        <f t="shared" si="16"/>
        <v/>
      </c>
      <c r="W85" s="13" t="str">
        <f t="shared" si="16"/>
        <v/>
      </c>
      <c r="X85" s="13" t="str">
        <f t="shared" si="16"/>
        <v/>
      </c>
      <c r="Y85" s="13" t="str">
        <f t="shared" si="16"/>
        <v/>
      </c>
      <c r="Z85" s="13" t="str">
        <f t="shared" si="16"/>
        <v/>
      </c>
      <c r="AA85" s="13" t="str">
        <f t="shared" si="16"/>
        <v/>
      </c>
      <c r="AB85" s="13" t="str">
        <f t="shared" si="16"/>
        <v/>
      </c>
      <c r="AC85" s="13" t="str">
        <f t="shared" si="16"/>
        <v/>
      </c>
      <c r="AD85" s="13" t="str">
        <f t="shared" si="16"/>
        <v/>
      </c>
      <c r="AE85" s="13" t="str">
        <f t="shared" si="16"/>
        <v/>
      </c>
      <c r="AF85" s="13" t="str">
        <f t="shared" si="16"/>
        <v/>
      </c>
      <c r="AG85" s="37">
        <f t="shared" si="3"/>
        <v>0</v>
      </c>
      <c r="AH85" s="37">
        <f t="shared" si="10"/>
        <v>0</v>
      </c>
      <c r="AI85" s="37" t="e">
        <f>IF(E85&gt;0,AG85/Calculations!$AB$10,"")</f>
        <v>#DIV/0!</v>
      </c>
      <c r="AJ85" s="75"/>
      <c r="AK85" s="75"/>
      <c r="AL85" s="75"/>
      <c r="AM85" s="75"/>
      <c r="AN85" s="75"/>
      <c r="AO85" s="75"/>
      <c r="AP85" s="75"/>
      <c r="AQ85" s="75"/>
      <c r="AR85" s="75"/>
      <c r="AS85" s="75"/>
    </row>
    <row r="86" spans="1:45" s="74" customFormat="1" ht="13.8" x14ac:dyDescent="0.3">
      <c r="A86" s="55" t="s">
        <v>12</v>
      </c>
      <c r="B86" s="196" t="str">
        <f>B25</f>
        <v>NGN</v>
      </c>
      <c r="C86" s="4"/>
      <c r="D86" s="47"/>
      <c r="E86" s="139">
        <f>C16</f>
        <v>25</v>
      </c>
      <c r="F86" s="200" t="str">
        <f>IF($C$16&gt;COUNT($E86:E86)*$E86,COUNT($E86:E86)*$E86,"")</f>
        <v/>
      </c>
      <c r="G86" s="13" t="str">
        <f>IF($C$16&gt;COUNT($E86:F86)*$E86,COUNT($E86:F86)*$E86,"")</f>
        <v/>
      </c>
      <c r="H86" s="13" t="str">
        <f>IF($C$16&gt;COUNT($E86:G86)*$E86,COUNT($E86:G86)*$E86,"")</f>
        <v/>
      </c>
      <c r="I86" s="13" t="str">
        <f>IF($C$16&gt;COUNT($E86:H86)*$E86,COUNT($E86:H86)*$E86,"")</f>
        <v/>
      </c>
      <c r="J86" s="13" t="str">
        <f>IF($C$16&gt;COUNT($E86:I86)*$E86,COUNT($E86:I86)*$E86,"")</f>
        <v/>
      </c>
      <c r="K86" s="199" t="str">
        <f>IF($C$16&gt;COUNT($E86:J86)*$E86,COUNT($E86:J86)*$E86,"")</f>
        <v/>
      </c>
      <c r="L86" s="13" t="str">
        <f t="shared" si="15"/>
        <v/>
      </c>
      <c r="M86" s="13" t="str">
        <f t="shared" si="15"/>
        <v/>
      </c>
      <c r="N86" s="13" t="str">
        <f t="shared" si="15"/>
        <v/>
      </c>
      <c r="O86" s="13" t="str">
        <f t="shared" si="15"/>
        <v/>
      </c>
      <c r="P86" s="13" t="str">
        <f t="shared" si="15"/>
        <v/>
      </c>
      <c r="Q86" s="13" t="str">
        <f t="shared" si="15"/>
        <v/>
      </c>
      <c r="R86" s="13" t="str">
        <f t="shared" si="15"/>
        <v/>
      </c>
      <c r="S86" s="13" t="str">
        <f t="shared" si="15"/>
        <v/>
      </c>
      <c r="T86" s="13" t="str">
        <f t="shared" si="15"/>
        <v/>
      </c>
      <c r="U86" s="13" t="str">
        <f t="shared" si="15"/>
        <v/>
      </c>
      <c r="V86" s="13" t="str">
        <f t="shared" si="16"/>
        <v/>
      </c>
      <c r="W86" s="13" t="str">
        <f t="shared" si="16"/>
        <v/>
      </c>
      <c r="X86" s="13" t="str">
        <f t="shared" si="16"/>
        <v/>
      </c>
      <c r="Y86" s="13" t="str">
        <f t="shared" si="16"/>
        <v/>
      </c>
      <c r="Z86" s="13" t="str">
        <f t="shared" si="16"/>
        <v/>
      </c>
      <c r="AA86" s="13" t="str">
        <f t="shared" si="16"/>
        <v/>
      </c>
      <c r="AB86" s="13" t="str">
        <f t="shared" si="16"/>
        <v/>
      </c>
      <c r="AC86" s="13" t="str">
        <f t="shared" si="16"/>
        <v/>
      </c>
      <c r="AD86" s="13" t="str">
        <f t="shared" si="16"/>
        <v/>
      </c>
      <c r="AE86" s="13" t="str">
        <f t="shared" si="16"/>
        <v/>
      </c>
      <c r="AF86" s="13" t="str">
        <f t="shared" si="16"/>
        <v/>
      </c>
      <c r="AG86" s="37">
        <f t="shared" si="3"/>
        <v>0</v>
      </c>
      <c r="AH86" s="37">
        <f t="shared" si="10"/>
        <v>0</v>
      </c>
      <c r="AI86" s="37" t="e">
        <f>IF(E86&gt;0,AG86/Calculations!$AB$10,"")</f>
        <v>#DIV/0!</v>
      </c>
      <c r="AJ86" s="75"/>
      <c r="AK86" s="75"/>
      <c r="AL86" s="75"/>
      <c r="AM86" s="75"/>
      <c r="AN86" s="75"/>
      <c r="AO86" s="75"/>
      <c r="AP86" s="75"/>
      <c r="AQ86" s="75"/>
      <c r="AR86" s="75"/>
      <c r="AS86" s="75"/>
    </row>
    <row r="87" spans="1:45" s="74" customFormat="1" ht="13.8" x14ac:dyDescent="0.3">
      <c r="A87" s="55" t="s">
        <v>42</v>
      </c>
      <c r="B87" s="196" t="str">
        <f>B25</f>
        <v>NGN</v>
      </c>
      <c r="C87" s="4"/>
      <c r="D87" s="47"/>
      <c r="E87" s="139">
        <f>C16</f>
        <v>25</v>
      </c>
      <c r="F87" s="200" t="str">
        <f>IF($C$16&gt;COUNT($E87:E87)*$E87,COUNT($E87:E87)*$E87,"")</f>
        <v/>
      </c>
      <c r="G87" s="13" t="str">
        <f>IF($C$16&gt;COUNT($E87:F87)*$E87,COUNT($E87:F87)*$E87,"")</f>
        <v/>
      </c>
      <c r="H87" s="13" t="str">
        <f>IF($C$16&gt;COUNT($E87:G87)*$E87,COUNT($E87:G87)*$E87,"")</f>
        <v/>
      </c>
      <c r="I87" s="13" t="str">
        <f>IF($C$16&gt;COUNT($E87:H87)*$E87,COUNT($E87:H87)*$E87,"")</f>
        <v/>
      </c>
      <c r="J87" s="13" t="str">
        <f>IF($C$16&gt;COUNT($E87:I87)*$E87,COUNT($E87:I87)*$E87,"")</f>
        <v/>
      </c>
      <c r="K87" s="199" t="str">
        <f>IF($C$16&gt;COUNT($E87:J87)*$E87,COUNT($E87:J87)*$E87,"")</f>
        <v/>
      </c>
      <c r="L87" s="13" t="str">
        <f t="shared" si="15"/>
        <v/>
      </c>
      <c r="M87" s="13" t="str">
        <f t="shared" si="15"/>
        <v/>
      </c>
      <c r="N87" s="13" t="str">
        <f t="shared" si="15"/>
        <v/>
      </c>
      <c r="O87" s="13" t="str">
        <f t="shared" si="15"/>
        <v/>
      </c>
      <c r="P87" s="13" t="str">
        <f t="shared" si="15"/>
        <v/>
      </c>
      <c r="Q87" s="13" t="str">
        <f t="shared" si="15"/>
        <v/>
      </c>
      <c r="R87" s="13" t="str">
        <f t="shared" si="15"/>
        <v/>
      </c>
      <c r="S87" s="13" t="str">
        <f t="shared" si="15"/>
        <v/>
      </c>
      <c r="T87" s="13" t="str">
        <f t="shared" si="15"/>
        <v/>
      </c>
      <c r="U87" s="13" t="str">
        <f t="shared" si="15"/>
        <v/>
      </c>
      <c r="V87" s="13" t="str">
        <f t="shared" si="16"/>
        <v/>
      </c>
      <c r="W87" s="13" t="str">
        <f t="shared" si="16"/>
        <v/>
      </c>
      <c r="X87" s="13" t="str">
        <f t="shared" si="16"/>
        <v/>
      </c>
      <c r="Y87" s="13" t="str">
        <f t="shared" si="16"/>
        <v/>
      </c>
      <c r="Z87" s="13" t="str">
        <f t="shared" si="16"/>
        <v/>
      </c>
      <c r="AA87" s="13" t="str">
        <f t="shared" si="16"/>
        <v/>
      </c>
      <c r="AB87" s="13" t="str">
        <f t="shared" si="16"/>
        <v/>
      </c>
      <c r="AC87" s="13" t="str">
        <f t="shared" si="16"/>
        <v/>
      </c>
      <c r="AD87" s="13" t="str">
        <f t="shared" si="16"/>
        <v/>
      </c>
      <c r="AE87" s="13" t="str">
        <f t="shared" si="16"/>
        <v/>
      </c>
      <c r="AF87" s="13" t="str">
        <f t="shared" si="16"/>
        <v/>
      </c>
      <c r="AG87" s="37">
        <f t="shared" si="3"/>
        <v>0</v>
      </c>
      <c r="AH87" s="37">
        <f t="shared" si="10"/>
        <v>0</v>
      </c>
      <c r="AI87" s="37" t="e">
        <f>IF(E87&gt;0,AG87/Calculations!$AB$10,"")</f>
        <v>#DIV/0!</v>
      </c>
      <c r="AJ87" s="75"/>
      <c r="AK87" s="75"/>
      <c r="AL87" s="75"/>
      <c r="AM87" s="75"/>
      <c r="AN87" s="75"/>
      <c r="AO87" s="75"/>
      <c r="AP87" s="75"/>
      <c r="AQ87" s="75"/>
      <c r="AR87" s="75"/>
      <c r="AS87" s="75"/>
    </row>
    <row r="88" spans="1:45" s="74" customFormat="1" ht="13.8" x14ac:dyDescent="0.3">
      <c r="A88" s="55" t="s">
        <v>35</v>
      </c>
      <c r="B88" s="196" t="str">
        <f>B25</f>
        <v>NGN</v>
      </c>
      <c r="C88" s="4"/>
      <c r="D88" s="47"/>
      <c r="E88" s="139">
        <f>C16</f>
        <v>25</v>
      </c>
      <c r="F88" s="200" t="str">
        <f>IF($C$16&gt;COUNT($E88:E88)*$E88,COUNT($E88:E88)*$E88,"")</f>
        <v/>
      </c>
      <c r="G88" s="13" t="str">
        <f>IF($C$16&gt;COUNT($E88:F88)*$E88,COUNT($E88:F88)*$E88,"")</f>
        <v/>
      </c>
      <c r="H88" s="13" t="str">
        <f>IF($C$16&gt;COUNT($E88:G88)*$E88,COUNT($E88:G88)*$E88,"")</f>
        <v/>
      </c>
      <c r="I88" s="13" t="str">
        <f>IF($C$16&gt;COUNT($E88:H88)*$E88,COUNT($E88:H88)*$E88,"")</f>
        <v/>
      </c>
      <c r="J88" s="13" t="str">
        <f>IF($C$16&gt;COUNT($E88:I88)*$E88,COUNT($E88:I88)*$E88,"")</f>
        <v/>
      </c>
      <c r="K88" s="199" t="str">
        <f>IF($C$16&gt;COUNT($E88:J88)*$E88,COUNT($E88:J88)*$E88,"")</f>
        <v/>
      </c>
      <c r="L88" s="13" t="str">
        <f t="shared" si="15"/>
        <v/>
      </c>
      <c r="M88" s="13" t="str">
        <f t="shared" si="15"/>
        <v/>
      </c>
      <c r="N88" s="13" t="str">
        <f t="shared" si="15"/>
        <v/>
      </c>
      <c r="O88" s="13" t="str">
        <f t="shared" si="15"/>
        <v/>
      </c>
      <c r="P88" s="13" t="str">
        <f t="shared" si="15"/>
        <v/>
      </c>
      <c r="Q88" s="13" t="str">
        <f t="shared" si="15"/>
        <v/>
      </c>
      <c r="R88" s="13" t="str">
        <f t="shared" si="15"/>
        <v/>
      </c>
      <c r="S88" s="13" t="str">
        <f t="shared" si="15"/>
        <v/>
      </c>
      <c r="T88" s="13" t="str">
        <f t="shared" si="15"/>
        <v/>
      </c>
      <c r="U88" s="13" t="str">
        <f t="shared" si="15"/>
        <v/>
      </c>
      <c r="V88" s="13" t="str">
        <f t="shared" si="16"/>
        <v/>
      </c>
      <c r="W88" s="13" t="str">
        <f t="shared" si="16"/>
        <v/>
      </c>
      <c r="X88" s="13" t="str">
        <f t="shared" si="16"/>
        <v/>
      </c>
      <c r="Y88" s="13" t="str">
        <f t="shared" si="16"/>
        <v/>
      </c>
      <c r="Z88" s="13" t="str">
        <f t="shared" si="16"/>
        <v/>
      </c>
      <c r="AA88" s="13" t="str">
        <f t="shared" si="16"/>
        <v/>
      </c>
      <c r="AB88" s="13" t="str">
        <f t="shared" si="16"/>
        <v/>
      </c>
      <c r="AC88" s="13" t="str">
        <f t="shared" si="16"/>
        <v/>
      </c>
      <c r="AD88" s="13" t="str">
        <f t="shared" si="16"/>
        <v/>
      </c>
      <c r="AE88" s="13" t="str">
        <f t="shared" si="16"/>
        <v/>
      </c>
      <c r="AF88" s="13" t="str">
        <f t="shared" si="16"/>
        <v/>
      </c>
      <c r="AG88" s="37">
        <f t="shared" si="3"/>
        <v>0</v>
      </c>
      <c r="AH88" s="37">
        <f t="shared" ref="AH88:AH119" si="17">IF(E88&gt;0,AG88/$C$16,"")</f>
        <v>0</v>
      </c>
      <c r="AI88" s="37" t="e">
        <f>IF(E88&gt;0,AG88/Calculations!$AB$10,"")</f>
        <v>#DIV/0!</v>
      </c>
      <c r="AJ88" s="75"/>
      <c r="AK88" s="75"/>
      <c r="AL88" s="75"/>
      <c r="AM88" s="75"/>
      <c r="AN88" s="75"/>
      <c r="AO88" s="75"/>
      <c r="AP88" s="75"/>
      <c r="AQ88" s="75"/>
      <c r="AR88" s="75"/>
      <c r="AS88" s="75"/>
    </row>
    <row r="89" spans="1:45" s="74" customFormat="1" ht="13.8" x14ac:dyDescent="0.3">
      <c r="A89" s="55" t="s">
        <v>10</v>
      </c>
      <c r="B89" s="196" t="str">
        <f>B25</f>
        <v>NGN</v>
      </c>
      <c r="C89" s="4"/>
      <c r="D89" s="47"/>
      <c r="E89" s="139">
        <f>C16</f>
        <v>25</v>
      </c>
      <c r="F89" s="200" t="str">
        <f>IF($C$16&gt;COUNT($E89:E89)*$E89,COUNT($E89:E89)*$E89,"")</f>
        <v/>
      </c>
      <c r="G89" s="13" t="str">
        <f>IF($C$16&gt;COUNT($E89:F89)*$E89,COUNT($E89:F89)*$E89,"")</f>
        <v/>
      </c>
      <c r="H89" s="13" t="str">
        <f>IF($C$16&gt;COUNT($E89:G89)*$E89,COUNT($E89:G89)*$E89,"")</f>
        <v/>
      </c>
      <c r="I89" s="13" t="str">
        <f>IF($C$16&gt;COUNT($E89:H89)*$E89,COUNT($E89:H89)*$E89,"")</f>
        <v/>
      </c>
      <c r="J89" s="13" t="str">
        <f>IF($C$16&gt;COUNT($E89:I89)*$E89,COUNT($E89:I89)*$E89,"")</f>
        <v/>
      </c>
      <c r="K89" s="199" t="str">
        <f>IF($C$16&gt;COUNT($E89:J89)*$E89,COUNT($E89:J89)*$E89,"")</f>
        <v/>
      </c>
      <c r="L89" s="13" t="str">
        <f t="shared" si="15"/>
        <v/>
      </c>
      <c r="M89" s="13" t="str">
        <f t="shared" si="15"/>
        <v/>
      </c>
      <c r="N89" s="13" t="str">
        <f t="shared" si="15"/>
        <v/>
      </c>
      <c r="O89" s="13" t="str">
        <f t="shared" si="15"/>
        <v/>
      </c>
      <c r="P89" s="13" t="str">
        <f t="shared" si="15"/>
        <v/>
      </c>
      <c r="Q89" s="13" t="str">
        <f t="shared" si="15"/>
        <v/>
      </c>
      <c r="R89" s="13" t="str">
        <f t="shared" si="15"/>
        <v/>
      </c>
      <c r="S89" s="13" t="str">
        <f t="shared" si="15"/>
        <v/>
      </c>
      <c r="T89" s="13" t="str">
        <f t="shared" si="15"/>
        <v/>
      </c>
      <c r="U89" s="13" t="str">
        <f t="shared" si="15"/>
        <v/>
      </c>
      <c r="V89" s="13" t="str">
        <f t="shared" si="16"/>
        <v/>
      </c>
      <c r="W89" s="13" t="str">
        <f t="shared" si="16"/>
        <v/>
      </c>
      <c r="X89" s="13" t="str">
        <f t="shared" si="16"/>
        <v/>
      </c>
      <c r="Y89" s="13" t="str">
        <f t="shared" si="16"/>
        <v/>
      </c>
      <c r="Z89" s="13" t="str">
        <f t="shared" si="16"/>
        <v/>
      </c>
      <c r="AA89" s="13" t="str">
        <f t="shared" si="16"/>
        <v/>
      </c>
      <c r="AB89" s="13" t="str">
        <f t="shared" si="16"/>
        <v/>
      </c>
      <c r="AC89" s="13" t="str">
        <f t="shared" si="16"/>
        <v/>
      </c>
      <c r="AD89" s="13" t="str">
        <f t="shared" si="16"/>
        <v/>
      </c>
      <c r="AE89" s="13" t="str">
        <f t="shared" si="16"/>
        <v/>
      </c>
      <c r="AF89" s="13" t="str">
        <f t="shared" si="16"/>
        <v/>
      </c>
      <c r="AG89" s="37">
        <f t="shared" ref="AG89:AG91" si="18">IF(E89&gt;0,C89/E89*$C$16,C89)</f>
        <v>0</v>
      </c>
      <c r="AH89" s="37">
        <f t="shared" si="17"/>
        <v>0</v>
      </c>
      <c r="AI89" s="37" t="e">
        <f>IF(E89&gt;0,AG89/Calculations!$AB$10,"")</f>
        <v>#DIV/0!</v>
      </c>
      <c r="AJ89" s="75"/>
      <c r="AK89" s="75"/>
      <c r="AL89" s="75"/>
      <c r="AM89" s="75"/>
      <c r="AN89" s="75"/>
      <c r="AO89" s="75"/>
      <c r="AP89" s="75"/>
      <c r="AQ89" s="75"/>
      <c r="AR89" s="75"/>
      <c r="AS89" s="75"/>
    </row>
    <row r="90" spans="1:45" s="74" customFormat="1" ht="13.8" x14ac:dyDescent="0.3">
      <c r="A90" s="55" t="s">
        <v>235</v>
      </c>
      <c r="B90" s="196" t="str">
        <f>B25</f>
        <v>NGN</v>
      </c>
      <c r="C90" s="4"/>
      <c r="D90" s="47"/>
      <c r="E90" s="139">
        <f>C16</f>
        <v>25</v>
      </c>
      <c r="F90" s="200" t="str">
        <f>IF($C$16&gt;COUNT($E90:E90)*$E90,COUNT($E90:E90)*$E90,"")</f>
        <v/>
      </c>
      <c r="G90" s="13" t="str">
        <f>IF($C$16&gt;COUNT($E90:F90)*$E90,COUNT($E90:F90)*$E90,"")</f>
        <v/>
      </c>
      <c r="H90" s="13" t="str">
        <f>IF($C$16&gt;COUNT($E90:G90)*$E90,COUNT($E90:G90)*$E90,"")</f>
        <v/>
      </c>
      <c r="I90" s="13" t="str">
        <f>IF($C$16&gt;COUNT($E90:H90)*$E90,COUNT($E90:H90)*$E90,"")</f>
        <v/>
      </c>
      <c r="J90" s="13" t="str">
        <f>IF($C$16&gt;COUNT($E90:I90)*$E90,COUNT($E90:I90)*$E90,"")</f>
        <v/>
      </c>
      <c r="K90" s="199" t="str">
        <f>IF($C$16&gt;COUNT($E90:J90)*$E90,COUNT($E90:J90)*$E90,"")</f>
        <v/>
      </c>
      <c r="L90" s="13" t="str">
        <f t="shared" si="15"/>
        <v/>
      </c>
      <c r="M90" s="13" t="str">
        <f t="shared" si="15"/>
        <v/>
      </c>
      <c r="N90" s="13" t="str">
        <f t="shared" si="15"/>
        <v/>
      </c>
      <c r="O90" s="13" t="str">
        <f t="shared" si="15"/>
        <v/>
      </c>
      <c r="P90" s="13" t="str">
        <f t="shared" si="15"/>
        <v/>
      </c>
      <c r="Q90" s="13" t="str">
        <f t="shared" si="15"/>
        <v/>
      </c>
      <c r="R90" s="13" t="str">
        <f t="shared" si="15"/>
        <v/>
      </c>
      <c r="S90" s="13" t="str">
        <f t="shared" si="15"/>
        <v/>
      </c>
      <c r="T90" s="13" t="str">
        <f t="shared" si="15"/>
        <v/>
      </c>
      <c r="U90" s="13" t="str">
        <f t="shared" si="15"/>
        <v/>
      </c>
      <c r="V90" s="13" t="str">
        <f t="shared" si="16"/>
        <v/>
      </c>
      <c r="W90" s="13" t="str">
        <f t="shared" si="16"/>
        <v/>
      </c>
      <c r="X90" s="13" t="str">
        <f t="shared" si="16"/>
        <v/>
      </c>
      <c r="Y90" s="13" t="str">
        <f t="shared" si="16"/>
        <v/>
      </c>
      <c r="Z90" s="13" t="str">
        <f t="shared" si="16"/>
        <v/>
      </c>
      <c r="AA90" s="13" t="str">
        <f t="shared" si="16"/>
        <v/>
      </c>
      <c r="AB90" s="13" t="str">
        <f t="shared" si="16"/>
        <v/>
      </c>
      <c r="AC90" s="13" t="str">
        <f t="shared" si="16"/>
        <v/>
      </c>
      <c r="AD90" s="13" t="str">
        <f t="shared" si="16"/>
        <v/>
      </c>
      <c r="AE90" s="13" t="str">
        <f t="shared" si="16"/>
        <v/>
      </c>
      <c r="AF90" s="13" t="str">
        <f t="shared" si="16"/>
        <v/>
      </c>
      <c r="AG90" s="37">
        <f>IF(E90&gt;0,C90/E90*$C$16,C90)</f>
        <v>0</v>
      </c>
      <c r="AH90" s="37">
        <f t="shared" si="17"/>
        <v>0</v>
      </c>
      <c r="AI90" s="37" t="e">
        <f>IF(E90&gt;0,AG90/Calculations!$AB$10,"")</f>
        <v>#DIV/0!</v>
      </c>
      <c r="AJ90" s="75"/>
      <c r="AK90" s="75"/>
      <c r="AL90" s="75"/>
      <c r="AM90" s="75"/>
      <c r="AN90" s="75"/>
      <c r="AO90" s="75"/>
      <c r="AP90" s="75"/>
      <c r="AQ90" s="75"/>
      <c r="AR90" s="75"/>
      <c r="AS90" s="75"/>
    </row>
    <row r="91" spans="1:45" s="74" customFormat="1" ht="13.8" x14ac:dyDescent="0.3">
      <c r="A91" s="55" t="s">
        <v>234</v>
      </c>
      <c r="B91" s="196" t="str">
        <f>B25</f>
        <v>NGN</v>
      </c>
      <c r="C91" s="4"/>
      <c r="D91" s="47"/>
      <c r="E91" s="139">
        <f>C16</f>
        <v>25</v>
      </c>
      <c r="F91" s="200" t="str">
        <f>IF($C$16&gt;COUNT($E91:E91)*$E91,COUNT($E91:E91)*$E91,"")</f>
        <v/>
      </c>
      <c r="G91" s="13" t="str">
        <f>IF($C$16&gt;COUNT($E91:F91)*$E91,COUNT($E91:F91)*$E91,"")</f>
        <v/>
      </c>
      <c r="H91" s="13" t="str">
        <f>IF($C$16&gt;COUNT($E91:G91)*$E91,COUNT($E91:G91)*$E91,"")</f>
        <v/>
      </c>
      <c r="I91" s="13" t="str">
        <f>IF($C$16&gt;COUNT($E91:H91)*$E91,COUNT($E91:H91)*$E91,"")</f>
        <v/>
      </c>
      <c r="J91" s="13" t="str">
        <f>IF($C$16&gt;COUNT($E91:I91)*$E91,COUNT($E91:I91)*$E91,"")</f>
        <v/>
      </c>
      <c r="K91" s="199" t="str">
        <f>IF($C$16&gt;COUNT($E91:J91)*$E91,COUNT($E91:J91)*$E91,"")</f>
        <v/>
      </c>
      <c r="L91" s="13" t="str">
        <f t="shared" si="15"/>
        <v/>
      </c>
      <c r="M91" s="13" t="str">
        <f t="shared" si="15"/>
        <v/>
      </c>
      <c r="N91" s="13" t="str">
        <f t="shared" si="15"/>
        <v/>
      </c>
      <c r="O91" s="13" t="str">
        <f t="shared" si="15"/>
        <v/>
      </c>
      <c r="P91" s="13" t="str">
        <f t="shared" si="15"/>
        <v/>
      </c>
      <c r="Q91" s="13" t="str">
        <f t="shared" si="15"/>
        <v/>
      </c>
      <c r="R91" s="13" t="str">
        <f t="shared" si="15"/>
        <v/>
      </c>
      <c r="S91" s="13" t="str">
        <f t="shared" si="15"/>
        <v/>
      </c>
      <c r="T91" s="13" t="str">
        <f t="shared" si="15"/>
        <v/>
      </c>
      <c r="U91" s="13" t="str">
        <f t="shared" si="15"/>
        <v/>
      </c>
      <c r="V91" s="13" t="str">
        <f t="shared" si="16"/>
        <v/>
      </c>
      <c r="W91" s="13" t="str">
        <f t="shared" si="16"/>
        <v/>
      </c>
      <c r="X91" s="13" t="str">
        <f t="shared" si="16"/>
        <v/>
      </c>
      <c r="Y91" s="13" t="str">
        <f t="shared" si="16"/>
        <v/>
      </c>
      <c r="Z91" s="13" t="str">
        <f t="shared" si="16"/>
        <v/>
      </c>
      <c r="AA91" s="13" t="str">
        <f t="shared" si="16"/>
        <v/>
      </c>
      <c r="AB91" s="13" t="str">
        <f t="shared" si="16"/>
        <v/>
      </c>
      <c r="AC91" s="13" t="str">
        <f t="shared" si="16"/>
        <v/>
      </c>
      <c r="AD91" s="13" t="str">
        <f t="shared" si="16"/>
        <v/>
      </c>
      <c r="AE91" s="13" t="str">
        <f t="shared" si="16"/>
        <v/>
      </c>
      <c r="AF91" s="13" t="str">
        <f t="shared" si="16"/>
        <v/>
      </c>
      <c r="AG91" s="37">
        <f t="shared" si="18"/>
        <v>0</v>
      </c>
      <c r="AH91" s="37">
        <f t="shared" si="17"/>
        <v>0</v>
      </c>
      <c r="AI91" s="37" t="e">
        <f>IF(E91&gt;0,AG91/Calculations!$AB$10,"")</f>
        <v>#DIV/0!</v>
      </c>
      <c r="AJ91" s="75"/>
      <c r="AK91" s="75"/>
      <c r="AL91" s="75"/>
      <c r="AM91" s="75"/>
      <c r="AN91" s="75"/>
      <c r="AO91" s="75"/>
      <c r="AP91" s="75"/>
      <c r="AQ91" s="75"/>
      <c r="AR91" s="75"/>
      <c r="AS91" s="75"/>
    </row>
    <row r="92" spans="1:45" s="74" customFormat="1" ht="13.8" x14ac:dyDescent="0.3">
      <c r="A92" s="55" t="s">
        <v>40</v>
      </c>
      <c r="B92" s="196" t="str">
        <f>B25</f>
        <v>NGN</v>
      </c>
      <c r="C92" s="4"/>
      <c r="D92" s="47"/>
      <c r="E92" s="139">
        <f>C16</f>
        <v>25</v>
      </c>
      <c r="F92" s="200" t="str">
        <f>IF($C$16&gt;COUNT($E92:E92)*$E92,COUNT($E92:E92)*$E92,"")</f>
        <v/>
      </c>
      <c r="G92" s="13" t="str">
        <f>IF($C$16&gt;COUNT($E92:F92)*$E92,COUNT($E92:F92)*$E92,"")</f>
        <v/>
      </c>
      <c r="H92" s="13" t="str">
        <f>IF($C$16&gt;COUNT($E92:G92)*$E92,COUNT($E92:G92)*$E92,"")</f>
        <v/>
      </c>
      <c r="I92" s="13" t="str">
        <f>IF($C$16&gt;COUNT($E92:H92)*$E92,COUNT($E92:H92)*$E92,"")</f>
        <v/>
      </c>
      <c r="J92" s="13" t="str">
        <f>IF($C$16&gt;COUNT($E92:I92)*$E92,COUNT($E92:I92)*$E92,"")</f>
        <v/>
      </c>
      <c r="K92" s="199" t="str">
        <f>IF($C$16&gt;COUNT($E92:J92)*$E92,COUNT($E92:J92)*$E92,"")</f>
        <v/>
      </c>
      <c r="L92" s="13" t="str">
        <f t="shared" si="15"/>
        <v/>
      </c>
      <c r="M92" s="13" t="str">
        <f t="shared" si="15"/>
        <v/>
      </c>
      <c r="N92" s="13" t="str">
        <f t="shared" si="15"/>
        <v/>
      </c>
      <c r="O92" s="13" t="str">
        <f t="shared" si="15"/>
        <v/>
      </c>
      <c r="P92" s="13" t="str">
        <f t="shared" si="15"/>
        <v/>
      </c>
      <c r="Q92" s="13" t="str">
        <f t="shared" si="15"/>
        <v/>
      </c>
      <c r="R92" s="13" t="str">
        <f t="shared" si="15"/>
        <v/>
      </c>
      <c r="S92" s="13" t="str">
        <f t="shared" si="15"/>
        <v/>
      </c>
      <c r="T92" s="13" t="str">
        <f t="shared" si="15"/>
        <v/>
      </c>
      <c r="U92" s="13" t="str">
        <f t="shared" si="15"/>
        <v/>
      </c>
      <c r="V92" s="13" t="str">
        <f t="shared" si="16"/>
        <v/>
      </c>
      <c r="W92" s="13" t="str">
        <f t="shared" si="16"/>
        <v/>
      </c>
      <c r="X92" s="13" t="str">
        <f t="shared" si="16"/>
        <v/>
      </c>
      <c r="Y92" s="13" t="str">
        <f t="shared" si="16"/>
        <v/>
      </c>
      <c r="Z92" s="13" t="str">
        <f t="shared" si="16"/>
        <v/>
      </c>
      <c r="AA92" s="13" t="str">
        <f t="shared" si="16"/>
        <v/>
      </c>
      <c r="AB92" s="13" t="str">
        <f t="shared" si="16"/>
        <v/>
      </c>
      <c r="AC92" s="13" t="str">
        <f t="shared" si="16"/>
        <v/>
      </c>
      <c r="AD92" s="13" t="str">
        <f t="shared" si="16"/>
        <v/>
      </c>
      <c r="AE92" s="13" t="str">
        <f t="shared" si="16"/>
        <v/>
      </c>
      <c r="AF92" s="13" t="str">
        <f t="shared" si="16"/>
        <v/>
      </c>
      <c r="AG92" s="37">
        <f>IF(E92&gt;0,C92/E92*$C$16,C92)</f>
        <v>0</v>
      </c>
      <c r="AH92" s="37">
        <f t="shared" si="17"/>
        <v>0</v>
      </c>
      <c r="AI92" s="37" t="e">
        <f>IF(E92&gt;0,AG92/Calculations!$AB$10,"")</f>
        <v>#DIV/0!</v>
      </c>
      <c r="AJ92" s="75"/>
      <c r="AK92" s="75"/>
      <c r="AL92" s="75"/>
      <c r="AM92" s="75"/>
      <c r="AN92" s="75"/>
      <c r="AO92" s="75"/>
      <c r="AP92" s="75"/>
      <c r="AQ92" s="75"/>
      <c r="AR92" s="75"/>
      <c r="AS92" s="75"/>
    </row>
    <row r="93" spans="1:45" s="74" customFormat="1" ht="13.8" x14ac:dyDescent="0.3">
      <c r="A93" s="55" t="s">
        <v>94</v>
      </c>
      <c r="B93" s="196" t="str">
        <f>B25</f>
        <v>NGN</v>
      </c>
      <c r="C93" s="4"/>
      <c r="D93" s="47"/>
      <c r="E93" s="139">
        <f>C16</f>
        <v>25</v>
      </c>
      <c r="F93" s="200" t="str">
        <f>IF($C$16&gt;COUNT($E93:E93)*$E93,COUNT($E93:E93)*$E93,"")</f>
        <v/>
      </c>
      <c r="G93" s="13" t="str">
        <f>IF($C$16&gt;COUNT($E93:F93)*$E93,COUNT($E93:F93)*$E93,"")</f>
        <v/>
      </c>
      <c r="H93" s="13" t="str">
        <f>IF($C$16&gt;COUNT($E93:G93)*$E93,COUNT($E93:G93)*$E93,"")</f>
        <v/>
      </c>
      <c r="I93" s="13" t="str">
        <f>IF($C$16&gt;COUNT($E93:H93)*$E93,COUNT($E93:H93)*$E93,"")</f>
        <v/>
      </c>
      <c r="J93" s="13" t="str">
        <f>IF($C$16&gt;COUNT($E93:I93)*$E93,COUNT($E93:I93)*$E93,"")</f>
        <v/>
      </c>
      <c r="K93" s="199" t="str">
        <f>IF($C$16&gt;COUNT($E93:J93)*$E93,COUNT($E93:J93)*$E93,"")</f>
        <v/>
      </c>
      <c r="L93" s="13" t="str">
        <f t="shared" si="15"/>
        <v/>
      </c>
      <c r="M93" s="13" t="str">
        <f t="shared" si="15"/>
        <v/>
      </c>
      <c r="N93" s="13" t="str">
        <f t="shared" si="15"/>
        <v/>
      </c>
      <c r="O93" s="13" t="str">
        <f t="shared" si="15"/>
        <v/>
      </c>
      <c r="P93" s="13" t="str">
        <f t="shared" si="15"/>
        <v/>
      </c>
      <c r="Q93" s="13" t="str">
        <f t="shared" si="15"/>
        <v/>
      </c>
      <c r="R93" s="13" t="str">
        <f t="shared" si="15"/>
        <v/>
      </c>
      <c r="S93" s="13" t="str">
        <f t="shared" si="15"/>
        <v/>
      </c>
      <c r="T93" s="13" t="str">
        <f t="shared" si="15"/>
        <v/>
      </c>
      <c r="U93" s="13" t="str">
        <f t="shared" si="15"/>
        <v/>
      </c>
      <c r="V93" s="13" t="str">
        <f t="shared" si="16"/>
        <v/>
      </c>
      <c r="W93" s="13" t="str">
        <f t="shared" si="16"/>
        <v/>
      </c>
      <c r="X93" s="13" t="str">
        <f t="shared" si="16"/>
        <v/>
      </c>
      <c r="Y93" s="13" t="str">
        <f t="shared" si="16"/>
        <v/>
      </c>
      <c r="Z93" s="13" t="str">
        <f t="shared" si="16"/>
        <v/>
      </c>
      <c r="AA93" s="13" t="str">
        <f t="shared" si="16"/>
        <v/>
      </c>
      <c r="AB93" s="13" t="str">
        <f t="shared" si="16"/>
        <v/>
      </c>
      <c r="AC93" s="13" t="str">
        <f t="shared" si="16"/>
        <v/>
      </c>
      <c r="AD93" s="13" t="str">
        <f t="shared" si="16"/>
        <v/>
      </c>
      <c r="AE93" s="13" t="str">
        <f t="shared" si="16"/>
        <v/>
      </c>
      <c r="AF93" s="13" t="str">
        <f t="shared" si="16"/>
        <v/>
      </c>
      <c r="AG93" s="37">
        <f t="shared" ref="AG93:AG109" si="19">IF(E93&gt;0,C93/E93*$C$16,C93)</f>
        <v>0</v>
      </c>
      <c r="AH93" s="37">
        <f t="shared" si="17"/>
        <v>0</v>
      </c>
      <c r="AI93" s="37" t="e">
        <f>IF(E93&gt;0,AG93/Calculations!$AB$10,"")</f>
        <v>#DIV/0!</v>
      </c>
      <c r="AJ93" s="75"/>
      <c r="AK93" s="75"/>
      <c r="AL93" s="75"/>
      <c r="AM93" s="75"/>
      <c r="AN93" s="75"/>
      <c r="AO93" s="75"/>
      <c r="AP93" s="75"/>
      <c r="AQ93" s="75"/>
      <c r="AR93" s="75"/>
      <c r="AS93" s="75"/>
    </row>
    <row r="94" spans="1:45" s="74" customFormat="1" ht="13.8" x14ac:dyDescent="0.3">
      <c r="A94" s="55" t="s">
        <v>37</v>
      </c>
      <c r="B94" s="196" t="str">
        <f>B25</f>
        <v>NGN</v>
      </c>
      <c r="C94" s="4"/>
      <c r="D94" s="47"/>
      <c r="E94" s="139">
        <f>C16</f>
        <v>25</v>
      </c>
      <c r="F94" s="200" t="str">
        <f>IF($C$16&gt;COUNT($E94:E94)*$E94,COUNT($E94:E94)*$E94,"")</f>
        <v/>
      </c>
      <c r="G94" s="13" t="str">
        <f>IF($C$16&gt;COUNT($E94:F94)*$E94,COUNT($E94:F94)*$E94,"")</f>
        <v/>
      </c>
      <c r="H94" s="13" t="str">
        <f>IF($C$16&gt;COUNT($E94:G94)*$E94,COUNT($E94:G94)*$E94,"")</f>
        <v/>
      </c>
      <c r="I94" s="13" t="str">
        <f>IF($C$16&gt;COUNT($E94:H94)*$E94,COUNT($E94:H94)*$E94,"")</f>
        <v/>
      </c>
      <c r="J94" s="13" t="str">
        <f>IF($C$16&gt;COUNT($E94:I94)*$E94,COUNT($E94:I94)*$E94,"")</f>
        <v/>
      </c>
      <c r="K94" s="199" t="str">
        <f>IF($C$16&gt;COUNT($E94:J94)*$E94,COUNT($E94:J94)*$E94,"")</f>
        <v/>
      </c>
      <c r="L94" s="13" t="str">
        <f t="shared" ref="L94:U103" si="20">IF(L$23=0,"",IF($F94=L$23,$C94,IF($G94=L$23,$C94,IF($H94=L$23,$C94,IF($I94=L$23,$C94,IF($J94=L$23,$C94,IF($K94=L$23,$C94,"")))))))</f>
        <v/>
      </c>
      <c r="M94" s="13" t="str">
        <f t="shared" si="20"/>
        <v/>
      </c>
      <c r="N94" s="13" t="str">
        <f t="shared" si="20"/>
        <v/>
      </c>
      <c r="O94" s="13" t="str">
        <f t="shared" si="20"/>
        <v/>
      </c>
      <c r="P94" s="13" t="str">
        <f t="shared" si="20"/>
        <v/>
      </c>
      <c r="Q94" s="13" t="str">
        <f t="shared" si="20"/>
        <v/>
      </c>
      <c r="R94" s="13" t="str">
        <f t="shared" si="20"/>
        <v/>
      </c>
      <c r="S94" s="13" t="str">
        <f t="shared" si="20"/>
        <v/>
      </c>
      <c r="T94" s="13" t="str">
        <f t="shared" si="20"/>
        <v/>
      </c>
      <c r="U94" s="13" t="str">
        <f t="shared" si="20"/>
        <v/>
      </c>
      <c r="V94" s="13" t="str">
        <f t="shared" ref="V94:AF103" si="21">IF(V$23=0,"",IF($F94=V$23,$C94,IF($G94=V$23,$C94,IF($H94=V$23,$C94,IF($I94=V$23,$C94,IF($J94=V$23,$C94,IF($K94=V$23,$C94,"")))))))</f>
        <v/>
      </c>
      <c r="W94" s="13" t="str">
        <f t="shared" si="21"/>
        <v/>
      </c>
      <c r="X94" s="13" t="str">
        <f t="shared" si="21"/>
        <v/>
      </c>
      <c r="Y94" s="13" t="str">
        <f t="shared" si="21"/>
        <v/>
      </c>
      <c r="Z94" s="13" t="str">
        <f t="shared" si="21"/>
        <v/>
      </c>
      <c r="AA94" s="13" t="str">
        <f t="shared" si="21"/>
        <v/>
      </c>
      <c r="AB94" s="13" t="str">
        <f t="shared" si="21"/>
        <v/>
      </c>
      <c r="AC94" s="13" t="str">
        <f t="shared" si="21"/>
        <v/>
      </c>
      <c r="AD94" s="13" t="str">
        <f t="shared" si="21"/>
        <v/>
      </c>
      <c r="AE94" s="13" t="str">
        <f t="shared" si="21"/>
        <v/>
      </c>
      <c r="AF94" s="13" t="str">
        <f t="shared" si="21"/>
        <v/>
      </c>
      <c r="AG94" s="37">
        <f t="shared" si="19"/>
        <v>0</v>
      </c>
      <c r="AH94" s="37">
        <f t="shared" si="17"/>
        <v>0</v>
      </c>
      <c r="AI94" s="37" t="e">
        <f>IF(E94&gt;0,AG94/Calculations!$AB$10,"")</f>
        <v>#DIV/0!</v>
      </c>
      <c r="AJ94" s="75"/>
      <c r="AK94" s="75"/>
      <c r="AL94" s="75"/>
      <c r="AM94" s="75"/>
      <c r="AN94" s="75"/>
      <c r="AO94" s="75"/>
      <c r="AP94" s="75"/>
      <c r="AQ94" s="75"/>
      <c r="AR94" s="75"/>
      <c r="AS94" s="75"/>
    </row>
    <row r="95" spans="1:45" s="74" customFormat="1" ht="13.8" x14ac:dyDescent="0.3">
      <c r="A95" s="55" t="s">
        <v>11</v>
      </c>
      <c r="B95" s="196" t="str">
        <f>B25</f>
        <v>NGN</v>
      </c>
      <c r="C95" s="4"/>
      <c r="D95" s="47"/>
      <c r="E95" s="139">
        <f>C16</f>
        <v>25</v>
      </c>
      <c r="F95" s="200" t="str">
        <f>IF($C$16&gt;COUNT($E95:E95)*$E95,COUNT($E95:E95)*$E95,"")</f>
        <v/>
      </c>
      <c r="G95" s="13" t="str">
        <f>IF($C$16&gt;COUNT($E95:F95)*$E95,COUNT($E95:F95)*$E95,"")</f>
        <v/>
      </c>
      <c r="H95" s="13" t="str">
        <f>IF($C$16&gt;COUNT($E95:G95)*$E95,COUNT($E95:G95)*$E95,"")</f>
        <v/>
      </c>
      <c r="I95" s="13" t="str">
        <f>IF($C$16&gt;COUNT($E95:H95)*$E95,COUNT($E95:H95)*$E95,"")</f>
        <v/>
      </c>
      <c r="J95" s="13" t="str">
        <f>IF($C$16&gt;COUNT($E95:I95)*$E95,COUNT($E95:I95)*$E95,"")</f>
        <v/>
      </c>
      <c r="K95" s="199" t="str">
        <f>IF($C$16&gt;COUNT($E95:J95)*$E95,COUNT($E95:J95)*$E95,"")</f>
        <v/>
      </c>
      <c r="L95" s="13" t="str">
        <f t="shared" si="20"/>
        <v/>
      </c>
      <c r="M95" s="13" t="str">
        <f t="shared" si="20"/>
        <v/>
      </c>
      <c r="N95" s="13" t="str">
        <f t="shared" si="20"/>
        <v/>
      </c>
      <c r="O95" s="13" t="str">
        <f t="shared" si="20"/>
        <v/>
      </c>
      <c r="P95" s="13" t="str">
        <f t="shared" si="20"/>
        <v/>
      </c>
      <c r="Q95" s="13" t="str">
        <f t="shared" si="20"/>
        <v/>
      </c>
      <c r="R95" s="13" t="str">
        <f t="shared" si="20"/>
        <v/>
      </c>
      <c r="S95" s="13" t="str">
        <f t="shared" si="20"/>
        <v/>
      </c>
      <c r="T95" s="13" t="str">
        <f t="shared" si="20"/>
        <v/>
      </c>
      <c r="U95" s="13" t="str">
        <f t="shared" si="20"/>
        <v/>
      </c>
      <c r="V95" s="13" t="str">
        <f t="shared" si="21"/>
        <v/>
      </c>
      <c r="W95" s="13" t="str">
        <f t="shared" si="21"/>
        <v/>
      </c>
      <c r="X95" s="13" t="str">
        <f t="shared" si="21"/>
        <v/>
      </c>
      <c r="Y95" s="13" t="str">
        <f t="shared" si="21"/>
        <v/>
      </c>
      <c r="Z95" s="13" t="str">
        <f t="shared" si="21"/>
        <v/>
      </c>
      <c r="AA95" s="13" t="str">
        <f t="shared" si="21"/>
        <v/>
      </c>
      <c r="AB95" s="13" t="str">
        <f t="shared" si="21"/>
        <v/>
      </c>
      <c r="AC95" s="13" t="str">
        <f t="shared" si="21"/>
        <v/>
      </c>
      <c r="AD95" s="13" t="str">
        <f t="shared" si="21"/>
        <v/>
      </c>
      <c r="AE95" s="13" t="str">
        <f t="shared" si="21"/>
        <v/>
      </c>
      <c r="AF95" s="13" t="str">
        <f t="shared" si="21"/>
        <v/>
      </c>
      <c r="AG95" s="37">
        <f t="shared" si="19"/>
        <v>0</v>
      </c>
      <c r="AH95" s="37">
        <f t="shared" si="17"/>
        <v>0</v>
      </c>
      <c r="AI95" s="37" t="e">
        <f>IF(E95&gt;0,AG95/Calculations!$AB$10,"")</f>
        <v>#DIV/0!</v>
      </c>
      <c r="AJ95" s="75"/>
      <c r="AK95" s="75"/>
      <c r="AL95" s="75"/>
      <c r="AM95" s="75"/>
      <c r="AN95" s="75"/>
      <c r="AO95" s="75"/>
      <c r="AP95" s="75"/>
      <c r="AQ95" s="75"/>
      <c r="AR95" s="75"/>
      <c r="AS95" s="75"/>
    </row>
    <row r="96" spans="1:45" s="74" customFormat="1" ht="13.8" x14ac:dyDescent="0.3">
      <c r="A96" s="55"/>
      <c r="B96" s="196" t="str">
        <f>B25</f>
        <v>NGN</v>
      </c>
      <c r="C96" s="4"/>
      <c r="D96" s="47"/>
      <c r="E96" s="139">
        <f>C16</f>
        <v>25</v>
      </c>
      <c r="F96" s="200"/>
      <c r="G96" s="13"/>
      <c r="H96" s="13"/>
      <c r="I96" s="13"/>
      <c r="J96" s="13"/>
      <c r="K96" s="199" t="str">
        <f>IF($C$16&gt;COUNT($E96:J96)*$E96,COUNT($E96:J96)*$E96,"")</f>
        <v/>
      </c>
      <c r="L96" s="13" t="str">
        <f t="shared" si="20"/>
        <v/>
      </c>
      <c r="M96" s="13" t="str">
        <f t="shared" si="20"/>
        <v/>
      </c>
      <c r="N96" s="13" t="str">
        <f t="shared" si="20"/>
        <v/>
      </c>
      <c r="O96" s="13" t="str">
        <f t="shared" si="20"/>
        <v/>
      </c>
      <c r="P96" s="13" t="str">
        <f t="shared" si="20"/>
        <v/>
      </c>
      <c r="Q96" s="13" t="str">
        <f t="shared" si="20"/>
        <v/>
      </c>
      <c r="R96" s="13" t="str">
        <f t="shared" si="20"/>
        <v/>
      </c>
      <c r="S96" s="13" t="str">
        <f t="shared" si="20"/>
        <v/>
      </c>
      <c r="T96" s="13" t="str">
        <f t="shared" si="20"/>
        <v/>
      </c>
      <c r="U96" s="13" t="str">
        <f t="shared" si="20"/>
        <v/>
      </c>
      <c r="V96" s="13" t="str">
        <f t="shared" si="21"/>
        <v/>
      </c>
      <c r="W96" s="13" t="str">
        <f t="shared" si="21"/>
        <v/>
      </c>
      <c r="X96" s="13" t="str">
        <f t="shared" si="21"/>
        <v/>
      </c>
      <c r="Y96" s="13" t="str">
        <f t="shared" si="21"/>
        <v/>
      </c>
      <c r="Z96" s="13" t="str">
        <f t="shared" si="21"/>
        <v/>
      </c>
      <c r="AA96" s="13" t="str">
        <f t="shared" si="21"/>
        <v/>
      </c>
      <c r="AB96" s="13" t="str">
        <f t="shared" si="21"/>
        <v/>
      </c>
      <c r="AC96" s="13" t="str">
        <f t="shared" si="21"/>
        <v/>
      </c>
      <c r="AD96" s="13" t="str">
        <f t="shared" si="21"/>
        <v/>
      </c>
      <c r="AE96" s="13" t="str">
        <f t="shared" si="21"/>
        <v/>
      </c>
      <c r="AF96" s="13" t="str">
        <f t="shared" si="21"/>
        <v/>
      </c>
      <c r="AG96" s="37">
        <f t="shared" si="19"/>
        <v>0</v>
      </c>
      <c r="AH96" s="37">
        <f t="shared" si="17"/>
        <v>0</v>
      </c>
      <c r="AI96" s="37" t="e">
        <f>IF(E96&gt;0,AG96/Calculations!$AB$10,"")</f>
        <v>#DIV/0!</v>
      </c>
      <c r="AJ96" s="75"/>
      <c r="AK96" s="75"/>
      <c r="AL96" s="75"/>
      <c r="AM96" s="75"/>
      <c r="AN96" s="75"/>
      <c r="AO96" s="75"/>
      <c r="AP96" s="75"/>
      <c r="AQ96" s="75"/>
      <c r="AR96" s="75"/>
      <c r="AS96" s="75"/>
    </row>
    <row r="97" spans="1:45" s="74" customFormat="1" ht="13.8" x14ac:dyDescent="0.3">
      <c r="A97" s="55"/>
      <c r="B97" s="196" t="str">
        <f>B25</f>
        <v>NGN</v>
      </c>
      <c r="C97" s="4"/>
      <c r="D97" s="47"/>
      <c r="E97" s="139">
        <f>C16</f>
        <v>25</v>
      </c>
      <c r="F97" s="200"/>
      <c r="G97" s="13"/>
      <c r="H97" s="13"/>
      <c r="I97" s="13"/>
      <c r="J97" s="13"/>
      <c r="K97" s="199" t="str">
        <f>IF($C$16&gt;COUNT($E97:J97)*$E97,COUNT($E97:J97)*$E97,"")</f>
        <v/>
      </c>
      <c r="L97" s="13" t="str">
        <f t="shared" si="20"/>
        <v/>
      </c>
      <c r="M97" s="13" t="str">
        <f t="shared" si="20"/>
        <v/>
      </c>
      <c r="N97" s="13" t="str">
        <f t="shared" si="20"/>
        <v/>
      </c>
      <c r="O97" s="13" t="str">
        <f t="shared" si="20"/>
        <v/>
      </c>
      <c r="P97" s="13" t="str">
        <f t="shared" si="20"/>
        <v/>
      </c>
      <c r="Q97" s="13" t="str">
        <f t="shared" si="20"/>
        <v/>
      </c>
      <c r="R97" s="13" t="str">
        <f t="shared" si="20"/>
        <v/>
      </c>
      <c r="S97" s="13" t="str">
        <f t="shared" si="20"/>
        <v/>
      </c>
      <c r="T97" s="13" t="str">
        <f t="shared" si="20"/>
        <v/>
      </c>
      <c r="U97" s="13" t="str">
        <f t="shared" si="20"/>
        <v/>
      </c>
      <c r="V97" s="13" t="str">
        <f t="shared" si="21"/>
        <v/>
      </c>
      <c r="W97" s="13" t="str">
        <f t="shared" si="21"/>
        <v/>
      </c>
      <c r="X97" s="13" t="str">
        <f t="shared" si="21"/>
        <v/>
      </c>
      <c r="Y97" s="13" t="str">
        <f t="shared" si="21"/>
        <v/>
      </c>
      <c r="Z97" s="13" t="str">
        <f t="shared" si="21"/>
        <v/>
      </c>
      <c r="AA97" s="13" t="str">
        <f t="shared" si="21"/>
        <v/>
      </c>
      <c r="AB97" s="13" t="str">
        <f t="shared" si="21"/>
        <v/>
      </c>
      <c r="AC97" s="13" t="str">
        <f t="shared" si="21"/>
        <v/>
      </c>
      <c r="AD97" s="13" t="str">
        <f t="shared" si="21"/>
        <v/>
      </c>
      <c r="AE97" s="13" t="str">
        <f t="shared" si="21"/>
        <v/>
      </c>
      <c r="AF97" s="13" t="str">
        <f t="shared" si="21"/>
        <v/>
      </c>
      <c r="AG97" s="37">
        <f t="shared" si="19"/>
        <v>0</v>
      </c>
      <c r="AH97" s="37">
        <f t="shared" si="17"/>
        <v>0</v>
      </c>
      <c r="AI97" s="37" t="e">
        <f>IF(E97&gt;0,AG97/Calculations!$AB$10,"")</f>
        <v>#DIV/0!</v>
      </c>
      <c r="AJ97" s="75"/>
      <c r="AK97" s="75"/>
      <c r="AL97" s="75"/>
      <c r="AM97" s="75"/>
      <c r="AN97" s="75"/>
      <c r="AO97" s="75"/>
      <c r="AP97" s="75"/>
      <c r="AQ97" s="75"/>
      <c r="AR97" s="75"/>
      <c r="AS97" s="75"/>
    </row>
    <row r="98" spans="1:45" s="47" customFormat="1" x14ac:dyDescent="0.3">
      <c r="A98" s="585" t="s">
        <v>395</v>
      </c>
      <c r="B98" s="586"/>
      <c r="C98" s="587"/>
      <c r="E98" s="495"/>
      <c r="F98" s="200"/>
      <c r="G98" s="13"/>
      <c r="H98" s="13"/>
      <c r="I98" s="13"/>
      <c r="J98" s="13"/>
      <c r="K98" s="199"/>
      <c r="L98" s="13" t="str">
        <f t="shared" si="20"/>
        <v/>
      </c>
      <c r="M98" s="13" t="str">
        <f t="shared" si="20"/>
        <v/>
      </c>
      <c r="N98" s="13" t="str">
        <f t="shared" si="20"/>
        <v/>
      </c>
      <c r="O98" s="13" t="str">
        <f t="shared" si="20"/>
        <v/>
      </c>
      <c r="P98" s="13" t="str">
        <f t="shared" si="20"/>
        <v/>
      </c>
      <c r="Q98" s="13" t="str">
        <f t="shared" si="20"/>
        <v/>
      </c>
      <c r="R98" s="13" t="str">
        <f t="shared" si="20"/>
        <v/>
      </c>
      <c r="S98" s="13" t="str">
        <f t="shared" si="20"/>
        <v/>
      </c>
      <c r="T98" s="13" t="str">
        <f t="shared" si="20"/>
        <v/>
      </c>
      <c r="U98" s="13" t="str">
        <f t="shared" si="20"/>
        <v/>
      </c>
      <c r="V98" s="13" t="str">
        <f t="shared" si="21"/>
        <v/>
      </c>
      <c r="W98" s="13" t="str">
        <f t="shared" si="21"/>
        <v/>
      </c>
      <c r="X98" s="13" t="str">
        <f t="shared" si="21"/>
        <v/>
      </c>
      <c r="Y98" s="13" t="str">
        <f t="shared" si="21"/>
        <v/>
      </c>
      <c r="Z98" s="13" t="str">
        <f t="shared" si="21"/>
        <v/>
      </c>
      <c r="AA98" s="13" t="str">
        <f t="shared" si="21"/>
        <v/>
      </c>
      <c r="AB98" s="13" t="str">
        <f t="shared" si="21"/>
        <v/>
      </c>
      <c r="AC98" s="13" t="str">
        <f t="shared" si="21"/>
        <v/>
      </c>
      <c r="AD98" s="13" t="str">
        <f t="shared" si="21"/>
        <v/>
      </c>
      <c r="AE98" s="13" t="str">
        <f t="shared" si="21"/>
        <v/>
      </c>
      <c r="AF98" s="13" t="str">
        <f t="shared" si="21"/>
        <v/>
      </c>
      <c r="AG98" s="37">
        <f t="shared" si="19"/>
        <v>0</v>
      </c>
      <c r="AH98" s="37" t="str">
        <f t="shared" si="17"/>
        <v/>
      </c>
      <c r="AI98" s="37" t="str">
        <f>IF(E98&gt;0,AG98/Calculations!$AB$10,"")</f>
        <v/>
      </c>
      <c r="AJ98" s="61"/>
      <c r="AK98" s="61"/>
      <c r="AL98" s="61"/>
      <c r="AM98" s="61"/>
      <c r="AN98" s="61"/>
      <c r="AO98" s="61"/>
      <c r="AP98" s="61"/>
      <c r="AQ98" s="61"/>
      <c r="AR98" s="61"/>
      <c r="AS98" s="61"/>
    </row>
    <row r="99" spans="1:45" s="74" customFormat="1" ht="13.8" x14ac:dyDescent="0.3">
      <c r="A99" s="55" t="s">
        <v>28</v>
      </c>
      <c r="B99" s="196" t="str">
        <f>B24</f>
        <v>NGN</v>
      </c>
      <c r="C99" s="4"/>
      <c r="D99" s="47"/>
      <c r="E99" s="139">
        <f>C16</f>
        <v>25</v>
      </c>
      <c r="F99" s="200" t="str">
        <f>IF($C$16&gt;COUNT($E99:E99)*$E99,COUNT($E99:E99)*$E99,"")</f>
        <v/>
      </c>
      <c r="G99" s="13" t="str">
        <f>IF($C$16&gt;COUNT($E99:F99)*$E99,COUNT($E99:F99)*$E99,"")</f>
        <v/>
      </c>
      <c r="H99" s="13" t="str">
        <f>IF($C$16&gt;COUNT($E99:G99)*$E99,COUNT($E99:G99)*$E99,"")</f>
        <v/>
      </c>
      <c r="I99" s="13" t="str">
        <f>IF($C$16&gt;COUNT($E99:H99)*$E99,COUNT($E99:H99)*$E99,"")</f>
        <v/>
      </c>
      <c r="J99" s="13" t="str">
        <f>IF($C$16&gt;COUNT($E99:I99)*$E99,COUNT($E99:I99)*$E99,"")</f>
        <v/>
      </c>
      <c r="K99" s="199" t="str">
        <f>IF($C$16&gt;COUNT($E99:J99)*$E99,COUNT($E99:J99)*$E99,"")</f>
        <v/>
      </c>
      <c r="L99" s="13" t="str">
        <f t="shared" si="20"/>
        <v/>
      </c>
      <c r="M99" s="13" t="str">
        <f t="shared" si="20"/>
        <v/>
      </c>
      <c r="N99" s="13" t="str">
        <f t="shared" si="20"/>
        <v/>
      </c>
      <c r="O99" s="13" t="str">
        <f t="shared" si="20"/>
        <v/>
      </c>
      <c r="P99" s="13" t="str">
        <f t="shared" si="20"/>
        <v/>
      </c>
      <c r="Q99" s="13" t="str">
        <f t="shared" si="20"/>
        <v/>
      </c>
      <c r="R99" s="13" t="str">
        <f t="shared" si="20"/>
        <v/>
      </c>
      <c r="S99" s="13" t="str">
        <f t="shared" si="20"/>
        <v/>
      </c>
      <c r="T99" s="13" t="str">
        <f t="shared" si="20"/>
        <v/>
      </c>
      <c r="U99" s="13" t="str">
        <f t="shared" si="20"/>
        <v/>
      </c>
      <c r="V99" s="13" t="str">
        <f t="shared" si="21"/>
        <v/>
      </c>
      <c r="W99" s="13" t="str">
        <f t="shared" si="21"/>
        <v/>
      </c>
      <c r="X99" s="13" t="str">
        <f t="shared" si="21"/>
        <v/>
      </c>
      <c r="Y99" s="13" t="str">
        <f t="shared" si="21"/>
        <v/>
      </c>
      <c r="Z99" s="13" t="str">
        <f t="shared" si="21"/>
        <v/>
      </c>
      <c r="AA99" s="13" t="str">
        <f t="shared" si="21"/>
        <v/>
      </c>
      <c r="AB99" s="13" t="str">
        <f t="shared" si="21"/>
        <v/>
      </c>
      <c r="AC99" s="13" t="str">
        <f t="shared" si="21"/>
        <v/>
      </c>
      <c r="AD99" s="13" t="str">
        <f t="shared" si="21"/>
        <v/>
      </c>
      <c r="AE99" s="13" t="str">
        <f t="shared" si="21"/>
        <v/>
      </c>
      <c r="AF99" s="13" t="str">
        <f t="shared" si="21"/>
        <v/>
      </c>
      <c r="AG99" s="37">
        <f t="shared" si="19"/>
        <v>0</v>
      </c>
      <c r="AH99" s="37">
        <f t="shared" si="17"/>
        <v>0</v>
      </c>
      <c r="AI99" s="37" t="e">
        <f>IF(E99&gt;0,AG99/Calculations!$AB$10,"")</f>
        <v>#DIV/0!</v>
      </c>
      <c r="AJ99" s="75"/>
      <c r="AK99" s="75"/>
      <c r="AL99" s="75"/>
      <c r="AM99" s="75"/>
      <c r="AN99" s="75"/>
      <c r="AO99" s="75"/>
      <c r="AP99" s="75"/>
      <c r="AQ99" s="75"/>
      <c r="AR99" s="75"/>
      <c r="AS99" s="75"/>
    </row>
    <row r="100" spans="1:45" s="74" customFormat="1" ht="13.8" x14ac:dyDescent="0.3">
      <c r="A100" s="55" t="s">
        <v>44</v>
      </c>
      <c r="B100" s="196" t="str">
        <f>B24</f>
        <v>NGN</v>
      </c>
      <c r="C100" s="4"/>
      <c r="D100" s="47"/>
      <c r="E100" s="139"/>
      <c r="F100" s="200"/>
      <c r="G100" s="13"/>
      <c r="H100" s="13"/>
      <c r="I100" s="13"/>
      <c r="J100" s="13"/>
      <c r="K100" s="199"/>
      <c r="L100" s="13" t="str">
        <f t="shared" si="20"/>
        <v/>
      </c>
      <c r="M100" s="13" t="str">
        <f t="shared" si="20"/>
        <v/>
      </c>
      <c r="N100" s="13" t="str">
        <f t="shared" si="20"/>
        <v/>
      </c>
      <c r="O100" s="13" t="str">
        <f t="shared" si="20"/>
        <v/>
      </c>
      <c r="P100" s="13" t="str">
        <f t="shared" si="20"/>
        <v/>
      </c>
      <c r="Q100" s="13" t="str">
        <f t="shared" si="20"/>
        <v/>
      </c>
      <c r="R100" s="13" t="str">
        <f t="shared" si="20"/>
        <v/>
      </c>
      <c r="S100" s="13" t="str">
        <f t="shared" si="20"/>
        <v/>
      </c>
      <c r="T100" s="13" t="str">
        <f t="shared" si="20"/>
        <v/>
      </c>
      <c r="U100" s="13" t="str">
        <f t="shared" si="20"/>
        <v/>
      </c>
      <c r="V100" s="13" t="str">
        <f t="shared" si="21"/>
        <v/>
      </c>
      <c r="W100" s="13" t="str">
        <f t="shared" si="21"/>
        <v/>
      </c>
      <c r="X100" s="13" t="str">
        <f t="shared" si="21"/>
        <v/>
      </c>
      <c r="Y100" s="13" t="str">
        <f t="shared" si="21"/>
        <v/>
      </c>
      <c r="Z100" s="13" t="str">
        <f t="shared" si="21"/>
        <v/>
      </c>
      <c r="AA100" s="13" t="str">
        <f t="shared" si="21"/>
        <v/>
      </c>
      <c r="AB100" s="13" t="str">
        <f t="shared" si="21"/>
        <v/>
      </c>
      <c r="AC100" s="13" t="str">
        <f t="shared" si="21"/>
        <v/>
      </c>
      <c r="AD100" s="13" t="str">
        <f t="shared" si="21"/>
        <v/>
      </c>
      <c r="AE100" s="13" t="str">
        <f t="shared" si="21"/>
        <v/>
      </c>
      <c r="AF100" s="13" t="str">
        <f t="shared" si="21"/>
        <v/>
      </c>
      <c r="AG100" s="37">
        <f t="shared" si="19"/>
        <v>0</v>
      </c>
      <c r="AH100" s="37" t="str">
        <f t="shared" si="17"/>
        <v/>
      </c>
      <c r="AI100" s="37" t="str">
        <f>IF(E100&gt;0,AG100/Calculations!$AB$10,"")</f>
        <v/>
      </c>
      <c r="AJ100" s="75"/>
      <c r="AK100" s="75"/>
      <c r="AL100" s="75"/>
      <c r="AM100" s="75"/>
      <c r="AN100" s="75"/>
      <c r="AO100" s="75"/>
      <c r="AP100" s="75"/>
      <c r="AQ100" s="75"/>
      <c r="AR100" s="75"/>
      <c r="AS100" s="75"/>
    </row>
    <row r="101" spans="1:45" s="74" customFormat="1" ht="13.8" x14ac:dyDescent="0.3">
      <c r="A101" s="55" t="s">
        <v>315</v>
      </c>
      <c r="B101" s="196" t="str">
        <f>B24</f>
        <v>NGN</v>
      </c>
      <c r="C101" s="4"/>
      <c r="D101" s="47"/>
      <c r="E101" s="139">
        <f>C16</f>
        <v>25</v>
      </c>
      <c r="F101" s="200" t="str">
        <f>IF($C$16&gt;COUNT($E101:E101)*$E101,COUNT($E101:E101)*$E101,"")</f>
        <v/>
      </c>
      <c r="G101" s="13" t="str">
        <f>IF($C$16&gt;COUNT($E101:F101)*$E101,COUNT($E101:F101)*$E101,"")</f>
        <v/>
      </c>
      <c r="H101" s="13" t="str">
        <f>IF($C$16&gt;COUNT($E101:G101)*$E101,COUNT($E101:G101)*$E101,"")</f>
        <v/>
      </c>
      <c r="I101" s="13" t="str">
        <f>IF($C$16&gt;COUNT($E101:H101)*$E101,COUNT($E101:H101)*$E101,"")</f>
        <v/>
      </c>
      <c r="J101" s="13" t="str">
        <f>IF($C$16&gt;COUNT($E101:I101)*$E101,COUNT($E101:I101)*$E101,"")</f>
        <v/>
      </c>
      <c r="K101" s="199" t="str">
        <f>IF($C$16&gt;COUNT($E101:J101)*$E101,COUNT($E101:J101)*$E101,"")</f>
        <v/>
      </c>
      <c r="L101" s="13" t="str">
        <f t="shared" si="20"/>
        <v/>
      </c>
      <c r="M101" s="13" t="str">
        <f t="shared" si="20"/>
        <v/>
      </c>
      <c r="N101" s="13" t="str">
        <f t="shared" si="20"/>
        <v/>
      </c>
      <c r="O101" s="13" t="str">
        <f t="shared" si="20"/>
        <v/>
      </c>
      <c r="P101" s="13" t="str">
        <f t="shared" si="20"/>
        <v/>
      </c>
      <c r="Q101" s="13" t="str">
        <f t="shared" si="20"/>
        <v/>
      </c>
      <c r="R101" s="13" t="str">
        <f t="shared" si="20"/>
        <v/>
      </c>
      <c r="S101" s="13" t="str">
        <f t="shared" si="20"/>
        <v/>
      </c>
      <c r="T101" s="13" t="str">
        <f t="shared" si="20"/>
        <v/>
      </c>
      <c r="U101" s="13" t="str">
        <f t="shared" si="20"/>
        <v/>
      </c>
      <c r="V101" s="13" t="str">
        <f t="shared" si="21"/>
        <v/>
      </c>
      <c r="W101" s="13" t="str">
        <f t="shared" si="21"/>
        <v/>
      </c>
      <c r="X101" s="13" t="str">
        <f t="shared" si="21"/>
        <v/>
      </c>
      <c r="Y101" s="13" t="str">
        <f t="shared" si="21"/>
        <v/>
      </c>
      <c r="Z101" s="13" t="str">
        <f t="shared" si="21"/>
        <v/>
      </c>
      <c r="AA101" s="13" t="str">
        <f t="shared" si="21"/>
        <v/>
      </c>
      <c r="AB101" s="13" t="str">
        <f t="shared" si="21"/>
        <v/>
      </c>
      <c r="AC101" s="13" t="str">
        <f t="shared" si="21"/>
        <v/>
      </c>
      <c r="AD101" s="13" t="str">
        <f t="shared" si="21"/>
        <v/>
      </c>
      <c r="AE101" s="13" t="str">
        <f t="shared" si="21"/>
        <v/>
      </c>
      <c r="AF101" s="13" t="str">
        <f t="shared" si="21"/>
        <v/>
      </c>
      <c r="AG101" s="37">
        <f t="shared" si="19"/>
        <v>0</v>
      </c>
      <c r="AH101" s="37">
        <f t="shared" si="17"/>
        <v>0</v>
      </c>
      <c r="AI101" s="37" t="e">
        <f>IF(E101&gt;0,AG101/Calculations!$AB$10,"")</f>
        <v>#DIV/0!</v>
      </c>
      <c r="AJ101" s="75"/>
      <c r="AK101" s="75"/>
      <c r="AL101" s="75"/>
      <c r="AM101" s="75"/>
      <c r="AN101" s="75"/>
      <c r="AO101" s="75"/>
      <c r="AP101" s="75"/>
      <c r="AQ101" s="75"/>
      <c r="AR101" s="75"/>
      <c r="AS101" s="75"/>
    </row>
    <row r="102" spans="1:45" s="74" customFormat="1" ht="13.8" x14ac:dyDescent="0.3">
      <c r="A102" s="55" t="s">
        <v>316</v>
      </c>
      <c r="B102" s="196" t="str">
        <f>B24</f>
        <v>NGN</v>
      </c>
      <c r="C102" s="4"/>
      <c r="D102" s="47"/>
      <c r="E102" s="139">
        <f>C16</f>
        <v>25</v>
      </c>
      <c r="F102" s="200" t="str">
        <f>IF($C$16&gt;COUNT($E102:E102)*$E102,COUNT($E102:E102)*$E102,"")</f>
        <v/>
      </c>
      <c r="G102" s="13" t="str">
        <f>IF($C$16&gt;COUNT($E102:F102)*$E102,COUNT($E102:F102)*$E102,"")</f>
        <v/>
      </c>
      <c r="H102" s="13" t="str">
        <f>IF($C$16&gt;COUNT($E102:G102)*$E102,COUNT($E102:G102)*$E102,"")</f>
        <v/>
      </c>
      <c r="I102" s="13" t="str">
        <f>IF($C$16&gt;COUNT($E102:H102)*$E102,COUNT($E102:H102)*$E102,"")</f>
        <v/>
      </c>
      <c r="J102" s="13" t="str">
        <f>IF($C$16&gt;COUNT($E102:I102)*$E102,COUNT($E102:I102)*$E102,"")</f>
        <v/>
      </c>
      <c r="K102" s="199" t="str">
        <f>IF($C$16&gt;COUNT($E102:J102)*$E102,COUNT($E102:J102)*$E102,"")</f>
        <v/>
      </c>
      <c r="L102" s="13" t="str">
        <f t="shared" si="20"/>
        <v/>
      </c>
      <c r="M102" s="13" t="str">
        <f t="shared" si="20"/>
        <v/>
      </c>
      <c r="N102" s="13" t="str">
        <f t="shared" si="20"/>
        <v/>
      </c>
      <c r="O102" s="13" t="str">
        <f t="shared" si="20"/>
        <v/>
      </c>
      <c r="P102" s="13" t="str">
        <f t="shared" si="20"/>
        <v/>
      </c>
      <c r="Q102" s="13" t="str">
        <f t="shared" si="20"/>
        <v/>
      </c>
      <c r="R102" s="13" t="str">
        <f t="shared" si="20"/>
        <v/>
      </c>
      <c r="S102" s="13" t="str">
        <f t="shared" si="20"/>
        <v/>
      </c>
      <c r="T102" s="13" t="str">
        <f t="shared" si="20"/>
        <v/>
      </c>
      <c r="U102" s="13" t="str">
        <f t="shared" si="20"/>
        <v/>
      </c>
      <c r="V102" s="13" t="str">
        <f t="shared" si="21"/>
        <v/>
      </c>
      <c r="W102" s="13" t="str">
        <f t="shared" si="21"/>
        <v/>
      </c>
      <c r="X102" s="13" t="str">
        <f t="shared" si="21"/>
        <v/>
      </c>
      <c r="Y102" s="13" t="str">
        <f t="shared" si="21"/>
        <v/>
      </c>
      <c r="Z102" s="13" t="str">
        <f t="shared" si="21"/>
        <v/>
      </c>
      <c r="AA102" s="13" t="str">
        <f t="shared" si="21"/>
        <v/>
      </c>
      <c r="AB102" s="13" t="str">
        <f t="shared" si="21"/>
        <v/>
      </c>
      <c r="AC102" s="13" t="str">
        <f t="shared" si="21"/>
        <v/>
      </c>
      <c r="AD102" s="13" t="str">
        <f t="shared" si="21"/>
        <v/>
      </c>
      <c r="AE102" s="13" t="str">
        <f t="shared" si="21"/>
        <v/>
      </c>
      <c r="AF102" s="13" t="str">
        <f t="shared" si="21"/>
        <v/>
      </c>
      <c r="AG102" s="37">
        <f>IF(E102&gt;0,C102/E102*$C$16,C102)</f>
        <v>0</v>
      </c>
      <c r="AH102" s="37">
        <f t="shared" si="17"/>
        <v>0</v>
      </c>
      <c r="AI102" s="37" t="e">
        <f>IF(E102&gt;0,AG102/Calculations!$AB$10,"")</f>
        <v>#DIV/0!</v>
      </c>
      <c r="AJ102" s="75"/>
      <c r="AK102" s="75"/>
      <c r="AL102" s="75"/>
      <c r="AM102" s="75"/>
      <c r="AN102" s="75"/>
      <c r="AO102" s="75"/>
      <c r="AP102" s="75"/>
      <c r="AQ102" s="75"/>
      <c r="AR102" s="75"/>
      <c r="AS102" s="75"/>
    </row>
    <row r="103" spans="1:45" s="74" customFormat="1" ht="13.8" x14ac:dyDescent="0.3">
      <c r="A103" s="55" t="s">
        <v>314</v>
      </c>
      <c r="B103" s="196" t="str">
        <f>B24</f>
        <v>NGN</v>
      </c>
      <c r="C103" s="4"/>
      <c r="D103" s="47"/>
      <c r="E103" s="139">
        <f>C16</f>
        <v>25</v>
      </c>
      <c r="F103" s="200" t="str">
        <f>IF($C$16&gt;COUNT($E103:E103)*$E103,COUNT($E103:E103)*$E103,"")</f>
        <v/>
      </c>
      <c r="G103" s="13" t="str">
        <f>IF($C$16&gt;COUNT($E103:F103)*$E103,COUNT($E103:F103)*$E103,"")</f>
        <v/>
      </c>
      <c r="H103" s="13" t="str">
        <f>IF($C$16&gt;COUNT($E103:G103)*$E103,COUNT($E103:G103)*$E103,"")</f>
        <v/>
      </c>
      <c r="I103" s="13" t="str">
        <f>IF($C$16&gt;COUNT($E103:H103)*$E103,COUNT($E103:H103)*$E103,"")</f>
        <v/>
      </c>
      <c r="J103" s="13" t="str">
        <f>IF($C$16&gt;COUNT($E103:I103)*$E103,COUNT($E103:I103)*$E103,"")</f>
        <v/>
      </c>
      <c r="K103" s="199" t="str">
        <f>IF($C$16&gt;COUNT($E103:J103)*$E103,COUNT($E103:J103)*$E103,"")</f>
        <v/>
      </c>
      <c r="L103" s="13" t="str">
        <f t="shared" si="20"/>
        <v/>
      </c>
      <c r="M103" s="13" t="str">
        <f t="shared" si="20"/>
        <v/>
      </c>
      <c r="N103" s="13" t="str">
        <f t="shared" si="20"/>
        <v/>
      </c>
      <c r="O103" s="13" t="str">
        <f t="shared" si="20"/>
        <v/>
      </c>
      <c r="P103" s="13" t="str">
        <f t="shared" si="20"/>
        <v/>
      </c>
      <c r="Q103" s="13" t="str">
        <f t="shared" si="20"/>
        <v/>
      </c>
      <c r="R103" s="13" t="str">
        <f t="shared" si="20"/>
        <v/>
      </c>
      <c r="S103" s="13" t="str">
        <f t="shared" si="20"/>
        <v/>
      </c>
      <c r="T103" s="13" t="str">
        <f t="shared" si="20"/>
        <v/>
      </c>
      <c r="U103" s="13" t="str">
        <f t="shared" si="20"/>
        <v/>
      </c>
      <c r="V103" s="13" t="str">
        <f t="shared" si="21"/>
        <v/>
      </c>
      <c r="W103" s="13" t="str">
        <f t="shared" si="21"/>
        <v/>
      </c>
      <c r="X103" s="13" t="str">
        <f t="shared" si="21"/>
        <v/>
      </c>
      <c r="Y103" s="13" t="str">
        <f t="shared" si="21"/>
        <v/>
      </c>
      <c r="Z103" s="13" t="str">
        <f t="shared" si="21"/>
        <v/>
      </c>
      <c r="AA103" s="13" t="str">
        <f t="shared" si="21"/>
        <v/>
      </c>
      <c r="AB103" s="13" t="str">
        <f t="shared" si="21"/>
        <v/>
      </c>
      <c r="AC103" s="13" t="str">
        <f t="shared" si="21"/>
        <v/>
      </c>
      <c r="AD103" s="13" t="str">
        <f t="shared" si="21"/>
        <v/>
      </c>
      <c r="AE103" s="13" t="str">
        <f t="shared" si="21"/>
        <v/>
      </c>
      <c r="AF103" s="13" t="str">
        <f t="shared" si="21"/>
        <v/>
      </c>
      <c r="AG103" s="37">
        <f t="shared" si="19"/>
        <v>0</v>
      </c>
      <c r="AH103" s="37">
        <f t="shared" si="17"/>
        <v>0</v>
      </c>
      <c r="AI103" s="37" t="e">
        <f>IF(E103&gt;0,AG103/Calculations!$AB$10,"")</f>
        <v>#DIV/0!</v>
      </c>
      <c r="AJ103" s="75"/>
      <c r="AK103" s="75"/>
      <c r="AL103" s="75"/>
      <c r="AM103" s="75"/>
      <c r="AN103" s="75"/>
      <c r="AO103" s="75"/>
      <c r="AP103" s="75"/>
      <c r="AQ103" s="75"/>
      <c r="AR103" s="75"/>
      <c r="AS103" s="75"/>
    </row>
    <row r="104" spans="1:45" s="74" customFormat="1" ht="13.8" x14ac:dyDescent="0.3">
      <c r="A104" s="55" t="s">
        <v>12</v>
      </c>
      <c r="B104" s="196" t="str">
        <f>B24</f>
        <v>NGN</v>
      </c>
      <c r="C104" s="4"/>
      <c r="D104" s="47"/>
      <c r="E104" s="139">
        <f>C16</f>
        <v>25</v>
      </c>
      <c r="F104" s="200" t="str">
        <f>IF($C$16&gt;COUNT($E104:E104)*$E104,COUNT($E104:E104)*$E104,"")</f>
        <v/>
      </c>
      <c r="G104" s="13" t="str">
        <f>IF($C$16&gt;COUNT($E104:F104)*$E104,COUNT($E104:F104)*$E104,"")</f>
        <v/>
      </c>
      <c r="H104" s="13" t="str">
        <f>IF($C$16&gt;COUNT($E104:G104)*$E104,COUNT($E104:G104)*$E104,"")</f>
        <v/>
      </c>
      <c r="I104" s="13" t="str">
        <f>IF($C$16&gt;COUNT($E104:H104)*$E104,COUNT($E104:H104)*$E104,"")</f>
        <v/>
      </c>
      <c r="J104" s="13" t="str">
        <f>IF($C$16&gt;COUNT($E104:I104)*$E104,COUNT($E104:I104)*$E104,"")</f>
        <v/>
      </c>
      <c r="K104" s="199" t="str">
        <f>IF($C$16&gt;COUNT($E104:J104)*$E104,COUNT($E104:J104)*$E104,"")</f>
        <v/>
      </c>
      <c r="L104" s="13" t="str">
        <f t="shared" ref="L104:U113" si="22">IF(L$23=0,"",IF($F104=L$23,$C104,IF($G104=L$23,$C104,IF($H104=L$23,$C104,IF($I104=L$23,$C104,IF($J104=L$23,$C104,IF($K104=L$23,$C104,"")))))))</f>
        <v/>
      </c>
      <c r="M104" s="13" t="str">
        <f t="shared" si="22"/>
        <v/>
      </c>
      <c r="N104" s="13" t="str">
        <f t="shared" si="22"/>
        <v/>
      </c>
      <c r="O104" s="13" t="str">
        <f t="shared" si="22"/>
        <v/>
      </c>
      <c r="P104" s="13" t="str">
        <f t="shared" si="22"/>
        <v/>
      </c>
      <c r="Q104" s="13" t="str">
        <f t="shared" si="22"/>
        <v/>
      </c>
      <c r="R104" s="13" t="str">
        <f t="shared" si="22"/>
        <v/>
      </c>
      <c r="S104" s="13" t="str">
        <f t="shared" si="22"/>
        <v/>
      </c>
      <c r="T104" s="13" t="str">
        <f t="shared" si="22"/>
        <v/>
      </c>
      <c r="U104" s="13" t="str">
        <f t="shared" si="22"/>
        <v/>
      </c>
      <c r="V104" s="13" t="str">
        <f t="shared" ref="V104:AF113" si="23">IF(V$23=0,"",IF($F104=V$23,$C104,IF($G104=V$23,$C104,IF($H104=V$23,$C104,IF($I104=V$23,$C104,IF($J104=V$23,$C104,IF($K104=V$23,$C104,"")))))))</f>
        <v/>
      </c>
      <c r="W104" s="13" t="str">
        <f t="shared" si="23"/>
        <v/>
      </c>
      <c r="X104" s="13" t="str">
        <f t="shared" si="23"/>
        <v/>
      </c>
      <c r="Y104" s="13" t="str">
        <f t="shared" si="23"/>
        <v/>
      </c>
      <c r="Z104" s="13" t="str">
        <f t="shared" si="23"/>
        <v/>
      </c>
      <c r="AA104" s="13" t="str">
        <f t="shared" si="23"/>
        <v/>
      </c>
      <c r="AB104" s="13" t="str">
        <f t="shared" si="23"/>
        <v/>
      </c>
      <c r="AC104" s="13" t="str">
        <f t="shared" si="23"/>
        <v/>
      </c>
      <c r="AD104" s="13" t="str">
        <f t="shared" si="23"/>
        <v/>
      </c>
      <c r="AE104" s="13" t="str">
        <f t="shared" si="23"/>
        <v/>
      </c>
      <c r="AF104" s="13" t="str">
        <f t="shared" si="23"/>
        <v/>
      </c>
      <c r="AG104" s="37">
        <f t="shared" si="19"/>
        <v>0</v>
      </c>
      <c r="AH104" s="37">
        <f t="shared" si="17"/>
        <v>0</v>
      </c>
      <c r="AI104" s="37" t="e">
        <f>IF(E104&gt;0,AG104/Calculations!$AB$10,"")</f>
        <v>#DIV/0!</v>
      </c>
      <c r="AJ104" s="75"/>
      <c r="AK104" s="75"/>
      <c r="AL104" s="75"/>
      <c r="AM104" s="75"/>
      <c r="AN104" s="75"/>
      <c r="AO104" s="75"/>
      <c r="AP104" s="75"/>
      <c r="AQ104" s="75"/>
      <c r="AR104" s="75"/>
      <c r="AS104" s="75"/>
    </row>
    <row r="105" spans="1:45" s="74" customFormat="1" ht="13.8" x14ac:dyDescent="0.3">
      <c r="A105" s="55" t="s">
        <v>42</v>
      </c>
      <c r="B105" s="196" t="str">
        <f>B24</f>
        <v>NGN</v>
      </c>
      <c r="C105" s="4"/>
      <c r="D105" s="47"/>
      <c r="E105" s="139">
        <f>C16</f>
        <v>25</v>
      </c>
      <c r="F105" s="200" t="str">
        <f>IF($C$16&gt;COUNT($E105:E105)*$E105,COUNT($E105:E105)*$E105,"")</f>
        <v/>
      </c>
      <c r="G105" s="13" t="str">
        <f>IF($C$16&gt;COUNT($E105:F105)*$E105,COUNT($E105:F105)*$E105,"")</f>
        <v/>
      </c>
      <c r="H105" s="13" t="str">
        <f>IF($C$16&gt;COUNT($E105:G105)*$E105,COUNT($E105:G105)*$E105,"")</f>
        <v/>
      </c>
      <c r="I105" s="13" t="str">
        <f>IF($C$16&gt;COUNT($E105:H105)*$E105,COUNT($E105:H105)*$E105,"")</f>
        <v/>
      </c>
      <c r="J105" s="13" t="str">
        <f>IF($C$16&gt;COUNT($E105:I105)*$E105,COUNT($E105:I105)*$E105,"")</f>
        <v/>
      </c>
      <c r="K105" s="199" t="str">
        <f>IF($C$16&gt;COUNT($E105:J105)*$E105,COUNT($E105:J105)*$E105,"")</f>
        <v/>
      </c>
      <c r="L105" s="13" t="str">
        <f t="shared" si="22"/>
        <v/>
      </c>
      <c r="M105" s="13" t="str">
        <f t="shared" si="22"/>
        <v/>
      </c>
      <c r="N105" s="13" t="str">
        <f t="shared" si="22"/>
        <v/>
      </c>
      <c r="O105" s="13" t="str">
        <f t="shared" si="22"/>
        <v/>
      </c>
      <c r="P105" s="13" t="str">
        <f t="shared" si="22"/>
        <v/>
      </c>
      <c r="Q105" s="13" t="str">
        <f t="shared" si="22"/>
        <v/>
      </c>
      <c r="R105" s="13" t="str">
        <f t="shared" si="22"/>
        <v/>
      </c>
      <c r="S105" s="13" t="str">
        <f t="shared" si="22"/>
        <v/>
      </c>
      <c r="T105" s="13" t="str">
        <f t="shared" si="22"/>
        <v/>
      </c>
      <c r="U105" s="13" t="str">
        <f t="shared" si="22"/>
        <v/>
      </c>
      <c r="V105" s="13" t="str">
        <f t="shared" si="23"/>
        <v/>
      </c>
      <c r="W105" s="13" t="str">
        <f t="shared" si="23"/>
        <v/>
      </c>
      <c r="X105" s="13" t="str">
        <f t="shared" si="23"/>
        <v/>
      </c>
      <c r="Y105" s="13" t="str">
        <f t="shared" si="23"/>
        <v/>
      </c>
      <c r="Z105" s="13" t="str">
        <f t="shared" si="23"/>
        <v/>
      </c>
      <c r="AA105" s="13" t="str">
        <f t="shared" si="23"/>
        <v/>
      </c>
      <c r="AB105" s="13" t="str">
        <f t="shared" si="23"/>
        <v/>
      </c>
      <c r="AC105" s="13" t="str">
        <f t="shared" si="23"/>
        <v/>
      </c>
      <c r="AD105" s="13" t="str">
        <f t="shared" si="23"/>
        <v/>
      </c>
      <c r="AE105" s="13" t="str">
        <f t="shared" si="23"/>
        <v/>
      </c>
      <c r="AF105" s="13" t="str">
        <f t="shared" si="23"/>
        <v/>
      </c>
      <c r="AG105" s="37">
        <f t="shared" si="19"/>
        <v>0</v>
      </c>
      <c r="AH105" s="37">
        <f t="shared" si="17"/>
        <v>0</v>
      </c>
      <c r="AI105" s="37" t="e">
        <f>IF(E105&gt;0,AG105/Calculations!$AB$10,"")</f>
        <v>#DIV/0!</v>
      </c>
      <c r="AJ105" s="75"/>
      <c r="AK105" s="75"/>
      <c r="AL105" s="75"/>
      <c r="AM105" s="75"/>
      <c r="AN105" s="75"/>
      <c r="AO105" s="75"/>
      <c r="AP105" s="75"/>
      <c r="AQ105" s="75"/>
      <c r="AR105" s="75"/>
      <c r="AS105" s="75"/>
    </row>
    <row r="106" spans="1:45" s="74" customFormat="1" ht="13.8" x14ac:dyDescent="0.3">
      <c r="A106" s="55" t="s">
        <v>35</v>
      </c>
      <c r="B106" s="196" t="str">
        <f>B24</f>
        <v>NGN</v>
      </c>
      <c r="C106" s="4"/>
      <c r="D106" s="47"/>
      <c r="E106" s="139">
        <f>C16</f>
        <v>25</v>
      </c>
      <c r="F106" s="200" t="str">
        <f>IF($C$16&gt;COUNT($E106:E106)*$E106,COUNT($E106:E106)*$E106,"")</f>
        <v/>
      </c>
      <c r="G106" s="13" t="str">
        <f>IF($C$16&gt;COUNT($E106:F106)*$E106,COUNT($E106:F106)*$E106,"")</f>
        <v/>
      </c>
      <c r="H106" s="13" t="str">
        <f>IF($C$16&gt;COUNT($E106:G106)*$E106,COUNT($E106:G106)*$E106,"")</f>
        <v/>
      </c>
      <c r="I106" s="13" t="str">
        <f>IF($C$16&gt;COUNT($E106:H106)*$E106,COUNT($E106:H106)*$E106,"")</f>
        <v/>
      </c>
      <c r="J106" s="13" t="str">
        <f>IF($C$16&gt;COUNT($E106:I106)*$E106,COUNT($E106:I106)*$E106,"")</f>
        <v/>
      </c>
      <c r="K106" s="199" t="str">
        <f>IF($C$16&gt;COUNT($E106:J106)*$E106,COUNT($E106:J106)*$E106,"")</f>
        <v/>
      </c>
      <c r="L106" s="13" t="str">
        <f t="shared" si="22"/>
        <v/>
      </c>
      <c r="M106" s="13" t="str">
        <f t="shared" si="22"/>
        <v/>
      </c>
      <c r="N106" s="13" t="str">
        <f t="shared" si="22"/>
        <v/>
      </c>
      <c r="O106" s="13" t="str">
        <f t="shared" si="22"/>
        <v/>
      </c>
      <c r="P106" s="13" t="str">
        <f t="shared" si="22"/>
        <v/>
      </c>
      <c r="Q106" s="13" t="str">
        <f t="shared" si="22"/>
        <v/>
      </c>
      <c r="R106" s="13" t="str">
        <f t="shared" si="22"/>
        <v/>
      </c>
      <c r="S106" s="13" t="str">
        <f t="shared" si="22"/>
        <v/>
      </c>
      <c r="T106" s="13" t="str">
        <f t="shared" si="22"/>
        <v/>
      </c>
      <c r="U106" s="13" t="str">
        <f t="shared" si="22"/>
        <v/>
      </c>
      <c r="V106" s="13" t="str">
        <f t="shared" si="23"/>
        <v/>
      </c>
      <c r="W106" s="13" t="str">
        <f t="shared" si="23"/>
        <v/>
      </c>
      <c r="X106" s="13" t="str">
        <f t="shared" si="23"/>
        <v/>
      </c>
      <c r="Y106" s="13" t="str">
        <f t="shared" si="23"/>
        <v/>
      </c>
      <c r="Z106" s="13" t="str">
        <f t="shared" si="23"/>
        <v/>
      </c>
      <c r="AA106" s="13" t="str">
        <f t="shared" si="23"/>
        <v/>
      </c>
      <c r="AB106" s="13" t="str">
        <f t="shared" si="23"/>
        <v/>
      </c>
      <c r="AC106" s="13" t="str">
        <f t="shared" si="23"/>
        <v/>
      </c>
      <c r="AD106" s="13" t="str">
        <f t="shared" si="23"/>
        <v/>
      </c>
      <c r="AE106" s="13" t="str">
        <f t="shared" si="23"/>
        <v/>
      </c>
      <c r="AF106" s="13" t="str">
        <f t="shared" si="23"/>
        <v/>
      </c>
      <c r="AG106" s="37">
        <f t="shared" si="19"/>
        <v>0</v>
      </c>
      <c r="AH106" s="37">
        <f t="shared" si="17"/>
        <v>0</v>
      </c>
      <c r="AI106" s="37" t="e">
        <f>IF(E106&gt;0,AG106/Calculations!$AB$10,"")</f>
        <v>#DIV/0!</v>
      </c>
      <c r="AJ106" s="75"/>
      <c r="AK106" s="75"/>
      <c r="AL106" s="75"/>
      <c r="AM106" s="75"/>
      <c r="AN106" s="75"/>
      <c r="AO106" s="75"/>
      <c r="AP106" s="75"/>
      <c r="AQ106" s="75"/>
      <c r="AR106" s="75"/>
      <c r="AS106" s="75"/>
    </row>
    <row r="107" spans="1:45" s="74" customFormat="1" ht="13.8" x14ac:dyDescent="0.3">
      <c r="A107" s="55" t="s">
        <v>10</v>
      </c>
      <c r="B107" s="196" t="str">
        <f>B24</f>
        <v>NGN</v>
      </c>
      <c r="C107" s="4"/>
      <c r="D107" s="47"/>
      <c r="E107" s="139">
        <f>C16</f>
        <v>25</v>
      </c>
      <c r="F107" s="200" t="str">
        <f>IF($C$16&gt;COUNT($E107:E107)*$E107,COUNT($E107:E107)*$E107,"")</f>
        <v/>
      </c>
      <c r="G107" s="13" t="str">
        <f>IF($C$16&gt;COUNT($E107:F107)*$E107,COUNT($E107:F107)*$E107,"")</f>
        <v/>
      </c>
      <c r="H107" s="13" t="str">
        <f>IF($C$16&gt;COUNT($E107:G107)*$E107,COUNT($E107:G107)*$E107,"")</f>
        <v/>
      </c>
      <c r="I107" s="13" t="str">
        <f>IF($C$16&gt;COUNT($E107:H107)*$E107,COUNT($E107:H107)*$E107,"")</f>
        <v/>
      </c>
      <c r="J107" s="13" t="str">
        <f>IF($C$16&gt;COUNT($E107:I107)*$E107,COUNT($E107:I107)*$E107,"")</f>
        <v/>
      </c>
      <c r="K107" s="199" t="str">
        <f>IF($C$16&gt;COUNT($E107:J107)*$E107,COUNT($E107:J107)*$E107,"")</f>
        <v/>
      </c>
      <c r="L107" s="13" t="str">
        <f t="shared" si="22"/>
        <v/>
      </c>
      <c r="M107" s="13" t="str">
        <f t="shared" si="22"/>
        <v/>
      </c>
      <c r="N107" s="13" t="str">
        <f t="shared" si="22"/>
        <v/>
      </c>
      <c r="O107" s="13" t="str">
        <f t="shared" si="22"/>
        <v/>
      </c>
      <c r="P107" s="13" t="str">
        <f t="shared" si="22"/>
        <v/>
      </c>
      <c r="Q107" s="13" t="str">
        <f t="shared" si="22"/>
        <v/>
      </c>
      <c r="R107" s="13" t="str">
        <f t="shared" si="22"/>
        <v/>
      </c>
      <c r="S107" s="13" t="str">
        <f t="shared" si="22"/>
        <v/>
      </c>
      <c r="T107" s="13" t="str">
        <f t="shared" si="22"/>
        <v/>
      </c>
      <c r="U107" s="13" t="str">
        <f t="shared" si="22"/>
        <v/>
      </c>
      <c r="V107" s="13" t="str">
        <f t="shared" si="23"/>
        <v/>
      </c>
      <c r="W107" s="13" t="str">
        <f t="shared" si="23"/>
        <v/>
      </c>
      <c r="X107" s="13" t="str">
        <f t="shared" si="23"/>
        <v/>
      </c>
      <c r="Y107" s="13" t="str">
        <f t="shared" si="23"/>
        <v/>
      </c>
      <c r="Z107" s="13" t="str">
        <f t="shared" si="23"/>
        <v/>
      </c>
      <c r="AA107" s="13" t="str">
        <f t="shared" si="23"/>
        <v/>
      </c>
      <c r="AB107" s="13" t="str">
        <f t="shared" si="23"/>
        <v/>
      </c>
      <c r="AC107" s="13" t="str">
        <f t="shared" si="23"/>
        <v/>
      </c>
      <c r="AD107" s="13" t="str">
        <f t="shared" si="23"/>
        <v/>
      </c>
      <c r="AE107" s="13" t="str">
        <f t="shared" si="23"/>
        <v/>
      </c>
      <c r="AF107" s="13" t="str">
        <f t="shared" si="23"/>
        <v/>
      </c>
      <c r="AG107" s="37">
        <f t="shared" si="19"/>
        <v>0</v>
      </c>
      <c r="AH107" s="37">
        <f t="shared" si="17"/>
        <v>0</v>
      </c>
      <c r="AI107" s="37" t="e">
        <f>IF(E107&gt;0,AG107/Calculations!$AB$10,"")</f>
        <v>#DIV/0!</v>
      </c>
      <c r="AJ107" s="75"/>
      <c r="AK107" s="75"/>
      <c r="AL107" s="75"/>
      <c r="AM107" s="75"/>
      <c r="AN107" s="75"/>
      <c r="AO107" s="75"/>
      <c r="AP107" s="75"/>
      <c r="AQ107" s="75"/>
      <c r="AR107" s="75"/>
      <c r="AS107" s="75"/>
    </row>
    <row r="108" spans="1:45" s="74" customFormat="1" ht="13.8" x14ac:dyDescent="0.3">
      <c r="A108" s="55" t="s">
        <v>235</v>
      </c>
      <c r="B108" s="196" t="str">
        <f>B24</f>
        <v>NGN</v>
      </c>
      <c r="C108" s="4"/>
      <c r="D108" s="47"/>
      <c r="E108" s="139">
        <f>C16</f>
        <v>25</v>
      </c>
      <c r="F108" s="200" t="str">
        <f>IF($C$16&gt;COUNT($E108:E108)*$E108,COUNT($E108:E108)*$E108,"")</f>
        <v/>
      </c>
      <c r="G108" s="13" t="str">
        <f>IF($C$16&gt;COUNT($E108:F108)*$E108,COUNT($E108:F108)*$E108,"")</f>
        <v/>
      </c>
      <c r="H108" s="13" t="str">
        <f>IF($C$16&gt;COUNT($E108:G108)*$E108,COUNT($E108:G108)*$E108,"")</f>
        <v/>
      </c>
      <c r="I108" s="13" t="str">
        <f>IF($C$16&gt;COUNT($E108:H108)*$E108,COUNT($E108:H108)*$E108,"")</f>
        <v/>
      </c>
      <c r="J108" s="13" t="str">
        <f>IF($C$16&gt;COUNT($E108:I108)*$E108,COUNT($E108:I108)*$E108,"")</f>
        <v/>
      </c>
      <c r="K108" s="199" t="str">
        <f>IF($C$16&gt;COUNT($E108:J108)*$E108,COUNT($E108:J108)*$E108,"")</f>
        <v/>
      </c>
      <c r="L108" s="13" t="str">
        <f t="shared" si="22"/>
        <v/>
      </c>
      <c r="M108" s="13" t="str">
        <f t="shared" si="22"/>
        <v/>
      </c>
      <c r="N108" s="13" t="str">
        <f t="shared" si="22"/>
        <v/>
      </c>
      <c r="O108" s="13" t="str">
        <f t="shared" si="22"/>
        <v/>
      </c>
      <c r="P108" s="13" t="str">
        <f t="shared" si="22"/>
        <v/>
      </c>
      <c r="Q108" s="13" t="str">
        <f t="shared" si="22"/>
        <v/>
      </c>
      <c r="R108" s="13" t="str">
        <f t="shared" si="22"/>
        <v/>
      </c>
      <c r="S108" s="13" t="str">
        <f t="shared" si="22"/>
        <v/>
      </c>
      <c r="T108" s="13" t="str">
        <f t="shared" si="22"/>
        <v/>
      </c>
      <c r="U108" s="13" t="str">
        <f t="shared" si="22"/>
        <v/>
      </c>
      <c r="V108" s="13" t="str">
        <f t="shared" si="23"/>
        <v/>
      </c>
      <c r="W108" s="13" t="str">
        <f t="shared" si="23"/>
        <v/>
      </c>
      <c r="X108" s="13" t="str">
        <f t="shared" si="23"/>
        <v/>
      </c>
      <c r="Y108" s="13" t="str">
        <f t="shared" si="23"/>
        <v/>
      </c>
      <c r="Z108" s="13" t="str">
        <f t="shared" si="23"/>
        <v/>
      </c>
      <c r="AA108" s="13" t="str">
        <f t="shared" si="23"/>
        <v/>
      </c>
      <c r="AB108" s="13" t="str">
        <f t="shared" si="23"/>
        <v/>
      </c>
      <c r="AC108" s="13" t="str">
        <f t="shared" si="23"/>
        <v/>
      </c>
      <c r="AD108" s="13" t="str">
        <f t="shared" si="23"/>
        <v/>
      </c>
      <c r="AE108" s="13" t="str">
        <f t="shared" si="23"/>
        <v/>
      </c>
      <c r="AF108" s="13" t="str">
        <f t="shared" si="23"/>
        <v/>
      </c>
      <c r="AG108" s="37">
        <f t="shared" si="19"/>
        <v>0</v>
      </c>
      <c r="AH108" s="37">
        <f t="shared" si="17"/>
        <v>0</v>
      </c>
      <c r="AI108" s="37" t="e">
        <f>IF(E108&gt;0,AG108/Calculations!$AB$10,"")</f>
        <v>#DIV/0!</v>
      </c>
      <c r="AJ108" s="75"/>
      <c r="AK108" s="75"/>
      <c r="AL108" s="75"/>
      <c r="AM108" s="75"/>
      <c r="AN108" s="75"/>
      <c r="AO108" s="75"/>
      <c r="AP108" s="75"/>
      <c r="AQ108" s="75"/>
      <c r="AR108" s="75"/>
      <c r="AS108" s="75"/>
    </row>
    <row r="109" spans="1:45" s="74" customFormat="1" ht="13.8" x14ac:dyDescent="0.3">
      <c r="A109" s="55" t="s">
        <v>234</v>
      </c>
      <c r="B109" s="196" t="str">
        <f>B24</f>
        <v>NGN</v>
      </c>
      <c r="C109" s="4"/>
      <c r="D109" s="47"/>
      <c r="E109" s="139">
        <f>C16</f>
        <v>25</v>
      </c>
      <c r="F109" s="200" t="str">
        <f>IF($C$16&gt;COUNT($E109:E109)*$E109,COUNT($E109:E109)*$E109,"")</f>
        <v/>
      </c>
      <c r="G109" s="13" t="str">
        <f>IF($C$16&gt;COUNT($E109:F109)*$E109,COUNT($E109:F109)*$E109,"")</f>
        <v/>
      </c>
      <c r="H109" s="13" t="str">
        <f>IF($C$16&gt;COUNT($E109:G109)*$E109,COUNT($E109:G109)*$E109,"")</f>
        <v/>
      </c>
      <c r="I109" s="13" t="str">
        <f>IF($C$16&gt;COUNT($E109:H109)*$E109,COUNT($E109:H109)*$E109,"")</f>
        <v/>
      </c>
      <c r="J109" s="13" t="str">
        <f>IF($C$16&gt;COUNT($E109:I109)*$E109,COUNT($E109:I109)*$E109,"")</f>
        <v/>
      </c>
      <c r="K109" s="199" t="str">
        <f>IF($C$16&gt;COUNT($E109:J109)*$E109,COUNT($E109:J109)*$E109,"")</f>
        <v/>
      </c>
      <c r="L109" s="13" t="str">
        <f t="shared" si="22"/>
        <v/>
      </c>
      <c r="M109" s="13" t="str">
        <f t="shared" si="22"/>
        <v/>
      </c>
      <c r="N109" s="13" t="str">
        <f t="shared" si="22"/>
        <v/>
      </c>
      <c r="O109" s="13" t="str">
        <f t="shared" si="22"/>
        <v/>
      </c>
      <c r="P109" s="13" t="str">
        <f t="shared" si="22"/>
        <v/>
      </c>
      <c r="Q109" s="13" t="str">
        <f t="shared" si="22"/>
        <v/>
      </c>
      <c r="R109" s="13" t="str">
        <f t="shared" si="22"/>
        <v/>
      </c>
      <c r="S109" s="13" t="str">
        <f t="shared" si="22"/>
        <v/>
      </c>
      <c r="T109" s="13" t="str">
        <f t="shared" si="22"/>
        <v/>
      </c>
      <c r="U109" s="13" t="str">
        <f t="shared" si="22"/>
        <v/>
      </c>
      <c r="V109" s="13" t="str">
        <f t="shared" si="23"/>
        <v/>
      </c>
      <c r="W109" s="13" t="str">
        <f t="shared" si="23"/>
        <v/>
      </c>
      <c r="X109" s="13" t="str">
        <f t="shared" si="23"/>
        <v/>
      </c>
      <c r="Y109" s="13" t="str">
        <f t="shared" si="23"/>
        <v/>
      </c>
      <c r="Z109" s="13" t="str">
        <f t="shared" si="23"/>
        <v/>
      </c>
      <c r="AA109" s="13" t="str">
        <f t="shared" si="23"/>
        <v/>
      </c>
      <c r="AB109" s="13" t="str">
        <f t="shared" si="23"/>
        <v/>
      </c>
      <c r="AC109" s="13" t="str">
        <f t="shared" si="23"/>
        <v/>
      </c>
      <c r="AD109" s="13" t="str">
        <f t="shared" si="23"/>
        <v/>
      </c>
      <c r="AE109" s="13" t="str">
        <f t="shared" si="23"/>
        <v/>
      </c>
      <c r="AF109" s="13" t="str">
        <f t="shared" si="23"/>
        <v/>
      </c>
      <c r="AG109" s="37">
        <f t="shared" si="19"/>
        <v>0</v>
      </c>
      <c r="AH109" s="37">
        <f t="shared" si="17"/>
        <v>0</v>
      </c>
      <c r="AI109" s="37" t="e">
        <f>IF(E109&gt;0,AG109/Calculations!$AB$10,"")</f>
        <v>#DIV/0!</v>
      </c>
      <c r="AJ109" s="75"/>
      <c r="AK109" s="75"/>
      <c r="AL109" s="75"/>
      <c r="AM109" s="75"/>
      <c r="AN109" s="75"/>
      <c r="AO109" s="75"/>
      <c r="AP109" s="75"/>
      <c r="AQ109" s="75"/>
      <c r="AR109" s="75"/>
      <c r="AS109" s="75"/>
    </row>
    <row r="110" spans="1:45" s="74" customFormat="1" ht="13.8" x14ac:dyDescent="0.3">
      <c r="A110" s="55" t="s">
        <v>40</v>
      </c>
      <c r="B110" s="196" t="str">
        <f>B24</f>
        <v>NGN</v>
      </c>
      <c r="C110" s="4"/>
      <c r="D110" s="47"/>
      <c r="E110" s="139">
        <f>C16</f>
        <v>25</v>
      </c>
      <c r="F110" s="200" t="str">
        <f>IF($C$16&gt;COUNT($E110:E110)*$E110,COUNT($E110:E110)*$E110,"")</f>
        <v/>
      </c>
      <c r="G110" s="13" t="str">
        <f>IF($C$16&gt;COUNT($E110:F110)*$E110,COUNT($E110:F110)*$E110,"")</f>
        <v/>
      </c>
      <c r="H110" s="13" t="str">
        <f>IF($C$16&gt;COUNT($E110:G110)*$E110,COUNT($E110:G110)*$E110,"")</f>
        <v/>
      </c>
      <c r="I110" s="13" t="str">
        <f>IF($C$16&gt;COUNT($E110:H110)*$E110,COUNT($E110:H110)*$E110,"")</f>
        <v/>
      </c>
      <c r="J110" s="13" t="str">
        <f>IF($C$16&gt;COUNT($E110:I110)*$E110,COUNT($E110:I110)*$E110,"")</f>
        <v/>
      </c>
      <c r="K110" s="199" t="str">
        <f>IF($C$16&gt;COUNT($E110:J110)*$E110,COUNT($E110:J110)*$E110,"")</f>
        <v/>
      </c>
      <c r="L110" s="13" t="str">
        <f t="shared" si="22"/>
        <v/>
      </c>
      <c r="M110" s="13" t="str">
        <f t="shared" si="22"/>
        <v/>
      </c>
      <c r="N110" s="13" t="str">
        <f t="shared" si="22"/>
        <v/>
      </c>
      <c r="O110" s="13" t="str">
        <f t="shared" si="22"/>
        <v/>
      </c>
      <c r="P110" s="13" t="str">
        <f t="shared" si="22"/>
        <v/>
      </c>
      <c r="Q110" s="13" t="str">
        <f t="shared" si="22"/>
        <v/>
      </c>
      <c r="R110" s="13" t="str">
        <f t="shared" si="22"/>
        <v/>
      </c>
      <c r="S110" s="13" t="str">
        <f t="shared" si="22"/>
        <v/>
      </c>
      <c r="T110" s="13" t="str">
        <f t="shared" si="22"/>
        <v/>
      </c>
      <c r="U110" s="13" t="str">
        <f t="shared" si="22"/>
        <v/>
      </c>
      <c r="V110" s="13" t="str">
        <f t="shared" si="23"/>
        <v/>
      </c>
      <c r="W110" s="13" t="str">
        <f t="shared" si="23"/>
        <v/>
      </c>
      <c r="X110" s="13" t="str">
        <f t="shared" si="23"/>
        <v/>
      </c>
      <c r="Y110" s="13" t="str">
        <f t="shared" si="23"/>
        <v/>
      </c>
      <c r="Z110" s="13" t="str">
        <f t="shared" si="23"/>
        <v/>
      </c>
      <c r="AA110" s="13" t="str">
        <f t="shared" si="23"/>
        <v/>
      </c>
      <c r="AB110" s="13" t="str">
        <f t="shared" si="23"/>
        <v/>
      </c>
      <c r="AC110" s="13" t="str">
        <f t="shared" si="23"/>
        <v/>
      </c>
      <c r="AD110" s="13" t="str">
        <f t="shared" si="23"/>
        <v/>
      </c>
      <c r="AE110" s="13" t="str">
        <f t="shared" si="23"/>
        <v/>
      </c>
      <c r="AF110" s="13" t="str">
        <f t="shared" si="23"/>
        <v/>
      </c>
      <c r="AG110" s="37">
        <f>IF(E110&gt;0,C110/E110*$C$16,C110)</f>
        <v>0</v>
      </c>
      <c r="AH110" s="37">
        <f t="shared" si="17"/>
        <v>0</v>
      </c>
      <c r="AI110" s="37" t="e">
        <f>IF(E110&gt;0,AG110/Calculations!$AB$10,"")</f>
        <v>#DIV/0!</v>
      </c>
      <c r="AJ110" s="75"/>
      <c r="AK110" s="75"/>
      <c r="AL110" s="75"/>
      <c r="AM110" s="75"/>
      <c r="AN110" s="75"/>
      <c r="AO110" s="75"/>
      <c r="AP110" s="75"/>
      <c r="AQ110" s="75"/>
      <c r="AR110" s="75"/>
      <c r="AS110" s="75"/>
    </row>
    <row r="111" spans="1:45" s="74" customFormat="1" ht="13.8" x14ac:dyDescent="0.3">
      <c r="A111" s="55" t="s">
        <v>94</v>
      </c>
      <c r="B111" s="196" t="str">
        <f>B24</f>
        <v>NGN</v>
      </c>
      <c r="C111" s="4"/>
      <c r="D111" s="47"/>
      <c r="E111" s="139">
        <f>C16</f>
        <v>25</v>
      </c>
      <c r="F111" s="200" t="str">
        <f>IF($C$16&gt;COUNT($E111:E111)*$E111,COUNT($E111:E111)*$E111,"")</f>
        <v/>
      </c>
      <c r="G111" s="13" t="str">
        <f>IF($C$16&gt;COUNT($E111:F111)*$E111,COUNT($E111:F111)*$E111,"")</f>
        <v/>
      </c>
      <c r="H111" s="13" t="str">
        <f>IF($C$16&gt;COUNT($E111:G111)*$E111,COUNT($E111:G111)*$E111,"")</f>
        <v/>
      </c>
      <c r="I111" s="13" t="str">
        <f>IF($C$16&gt;COUNT($E111:H111)*$E111,COUNT($E111:H111)*$E111,"")</f>
        <v/>
      </c>
      <c r="J111" s="13" t="str">
        <f>IF($C$16&gt;COUNT($E111:I111)*$E111,COUNT($E111:I111)*$E111,"")</f>
        <v/>
      </c>
      <c r="K111" s="199" t="str">
        <f>IF($C$16&gt;COUNT($E111:J111)*$E111,COUNT($E111:J111)*$E111,"")</f>
        <v/>
      </c>
      <c r="L111" s="13" t="str">
        <f t="shared" si="22"/>
        <v/>
      </c>
      <c r="M111" s="13" t="str">
        <f t="shared" si="22"/>
        <v/>
      </c>
      <c r="N111" s="13" t="str">
        <f t="shared" si="22"/>
        <v/>
      </c>
      <c r="O111" s="13" t="str">
        <f t="shared" si="22"/>
        <v/>
      </c>
      <c r="P111" s="13" t="str">
        <f t="shared" si="22"/>
        <v/>
      </c>
      <c r="Q111" s="13" t="str">
        <f t="shared" si="22"/>
        <v/>
      </c>
      <c r="R111" s="13" t="str">
        <f t="shared" si="22"/>
        <v/>
      </c>
      <c r="S111" s="13" t="str">
        <f t="shared" si="22"/>
        <v/>
      </c>
      <c r="T111" s="13" t="str">
        <f t="shared" si="22"/>
        <v/>
      </c>
      <c r="U111" s="13" t="str">
        <f t="shared" si="22"/>
        <v/>
      </c>
      <c r="V111" s="13" t="str">
        <f t="shared" si="23"/>
        <v/>
      </c>
      <c r="W111" s="13" t="str">
        <f t="shared" si="23"/>
        <v/>
      </c>
      <c r="X111" s="13" t="str">
        <f t="shared" si="23"/>
        <v/>
      </c>
      <c r="Y111" s="13" t="str">
        <f t="shared" si="23"/>
        <v/>
      </c>
      <c r="Z111" s="13" t="str">
        <f t="shared" si="23"/>
        <v/>
      </c>
      <c r="AA111" s="13" t="str">
        <f t="shared" si="23"/>
        <v/>
      </c>
      <c r="AB111" s="13" t="str">
        <f t="shared" si="23"/>
        <v/>
      </c>
      <c r="AC111" s="13" t="str">
        <f t="shared" si="23"/>
        <v/>
      </c>
      <c r="AD111" s="13" t="str">
        <f t="shared" si="23"/>
        <v/>
      </c>
      <c r="AE111" s="13" t="str">
        <f t="shared" si="23"/>
        <v/>
      </c>
      <c r="AF111" s="13" t="str">
        <f t="shared" si="23"/>
        <v/>
      </c>
      <c r="AG111" s="37">
        <f t="shared" ref="AG111:AG122" si="24">IF(E111&gt;0,C111/E111*$C$16,C111)</f>
        <v>0</v>
      </c>
      <c r="AH111" s="37">
        <f t="shared" si="17"/>
        <v>0</v>
      </c>
      <c r="AI111" s="37" t="e">
        <f>IF(E111&gt;0,AG111/Calculations!$AB$10,"")</f>
        <v>#DIV/0!</v>
      </c>
      <c r="AJ111" s="75"/>
      <c r="AK111" s="75"/>
      <c r="AL111" s="75"/>
      <c r="AM111" s="75"/>
      <c r="AN111" s="75"/>
      <c r="AO111" s="75"/>
      <c r="AP111" s="75"/>
      <c r="AQ111" s="75"/>
      <c r="AR111" s="75"/>
      <c r="AS111" s="75"/>
    </row>
    <row r="112" spans="1:45" s="74" customFormat="1" ht="13.8" x14ac:dyDescent="0.3">
      <c r="A112" s="55" t="s">
        <v>37</v>
      </c>
      <c r="B112" s="196" t="str">
        <f>B24</f>
        <v>NGN</v>
      </c>
      <c r="C112" s="4"/>
      <c r="D112" s="47"/>
      <c r="E112" s="139">
        <f>C16</f>
        <v>25</v>
      </c>
      <c r="F112" s="200" t="str">
        <f>IF($C$16&gt;COUNT($E112:E112)*$E112,COUNT($E112:E112)*$E112,"")</f>
        <v/>
      </c>
      <c r="G112" s="13" t="str">
        <f>IF($C$16&gt;COUNT($E112:F112)*$E112,COUNT($E112:F112)*$E112,"")</f>
        <v/>
      </c>
      <c r="H112" s="13" t="str">
        <f>IF($C$16&gt;COUNT($E112:G112)*$E112,COUNT($E112:G112)*$E112,"")</f>
        <v/>
      </c>
      <c r="I112" s="13" t="str">
        <f>IF($C$16&gt;COUNT($E112:H112)*$E112,COUNT($E112:H112)*$E112,"")</f>
        <v/>
      </c>
      <c r="J112" s="13" t="str">
        <f>IF($C$16&gt;COUNT($E112:I112)*$E112,COUNT($E112:I112)*$E112,"")</f>
        <v/>
      </c>
      <c r="K112" s="199" t="str">
        <f>IF($C$16&gt;COUNT($E112:J112)*$E112,COUNT($E112:J112)*$E112,"")</f>
        <v/>
      </c>
      <c r="L112" s="13" t="str">
        <f t="shared" si="22"/>
        <v/>
      </c>
      <c r="M112" s="13" t="str">
        <f t="shared" si="22"/>
        <v/>
      </c>
      <c r="N112" s="13" t="str">
        <f t="shared" si="22"/>
        <v/>
      </c>
      <c r="O112" s="13" t="str">
        <f t="shared" si="22"/>
        <v/>
      </c>
      <c r="P112" s="13" t="str">
        <f t="shared" si="22"/>
        <v/>
      </c>
      <c r="Q112" s="13" t="str">
        <f t="shared" si="22"/>
        <v/>
      </c>
      <c r="R112" s="13" t="str">
        <f t="shared" si="22"/>
        <v/>
      </c>
      <c r="S112" s="13" t="str">
        <f t="shared" si="22"/>
        <v/>
      </c>
      <c r="T112" s="13" t="str">
        <f t="shared" si="22"/>
        <v/>
      </c>
      <c r="U112" s="13" t="str">
        <f t="shared" si="22"/>
        <v/>
      </c>
      <c r="V112" s="13" t="str">
        <f t="shared" si="23"/>
        <v/>
      </c>
      <c r="W112" s="13" t="str">
        <f t="shared" si="23"/>
        <v/>
      </c>
      <c r="X112" s="13" t="str">
        <f t="shared" si="23"/>
        <v/>
      </c>
      <c r="Y112" s="13" t="str">
        <f t="shared" si="23"/>
        <v/>
      </c>
      <c r="Z112" s="13" t="str">
        <f t="shared" si="23"/>
        <v/>
      </c>
      <c r="AA112" s="13" t="str">
        <f t="shared" si="23"/>
        <v/>
      </c>
      <c r="AB112" s="13" t="str">
        <f t="shared" si="23"/>
        <v/>
      </c>
      <c r="AC112" s="13" t="str">
        <f t="shared" si="23"/>
        <v/>
      </c>
      <c r="AD112" s="13" t="str">
        <f t="shared" si="23"/>
        <v/>
      </c>
      <c r="AE112" s="13" t="str">
        <f t="shared" si="23"/>
        <v/>
      </c>
      <c r="AF112" s="13" t="str">
        <f t="shared" si="23"/>
        <v/>
      </c>
      <c r="AG112" s="37">
        <f t="shared" si="24"/>
        <v>0</v>
      </c>
      <c r="AH112" s="37">
        <f t="shared" si="17"/>
        <v>0</v>
      </c>
      <c r="AI112" s="37" t="e">
        <f>IF(E112&gt;0,AG112/Calculations!$AB$10,"")</f>
        <v>#DIV/0!</v>
      </c>
      <c r="AJ112" s="75"/>
      <c r="AK112" s="75"/>
      <c r="AL112" s="75"/>
      <c r="AM112" s="75"/>
      <c r="AN112" s="75"/>
      <c r="AO112" s="75"/>
      <c r="AP112" s="75"/>
      <c r="AQ112" s="75"/>
      <c r="AR112" s="75"/>
      <c r="AS112" s="75"/>
    </row>
    <row r="113" spans="1:45" s="74" customFormat="1" ht="13.8" x14ac:dyDescent="0.3">
      <c r="A113" s="55" t="s">
        <v>11</v>
      </c>
      <c r="B113" s="196" t="str">
        <f>B24</f>
        <v>NGN</v>
      </c>
      <c r="C113" s="4"/>
      <c r="D113" s="47"/>
      <c r="E113" s="139">
        <f>C16</f>
        <v>25</v>
      </c>
      <c r="F113" s="200" t="str">
        <f>IF($C$16&gt;COUNT($E113:E113)*$E113,COUNT($E113:E113)*$E113,"")</f>
        <v/>
      </c>
      <c r="G113" s="13" t="str">
        <f>IF($C$16&gt;COUNT($E113:F113)*$E113,COUNT($E113:F113)*$E113,"")</f>
        <v/>
      </c>
      <c r="H113" s="13" t="str">
        <f>IF($C$16&gt;COUNT($E113:G113)*$E113,COUNT($E113:G113)*$E113,"")</f>
        <v/>
      </c>
      <c r="I113" s="13" t="str">
        <f>IF($C$16&gt;COUNT($E113:H113)*$E113,COUNT($E113:H113)*$E113,"")</f>
        <v/>
      </c>
      <c r="J113" s="13" t="str">
        <f>IF($C$16&gt;COUNT($E113:I113)*$E113,COUNT($E113:I113)*$E113,"")</f>
        <v/>
      </c>
      <c r="K113" s="199" t="str">
        <f>IF($C$16&gt;COUNT($E113:J113)*$E113,COUNT($E113:J113)*$E113,"")</f>
        <v/>
      </c>
      <c r="L113" s="13" t="str">
        <f t="shared" si="22"/>
        <v/>
      </c>
      <c r="M113" s="13" t="str">
        <f t="shared" si="22"/>
        <v/>
      </c>
      <c r="N113" s="13" t="str">
        <f t="shared" si="22"/>
        <v/>
      </c>
      <c r="O113" s="13" t="str">
        <f t="shared" si="22"/>
        <v/>
      </c>
      <c r="P113" s="13" t="str">
        <f t="shared" si="22"/>
        <v/>
      </c>
      <c r="Q113" s="13" t="str">
        <f t="shared" si="22"/>
        <v/>
      </c>
      <c r="R113" s="13" t="str">
        <f t="shared" si="22"/>
        <v/>
      </c>
      <c r="S113" s="13" t="str">
        <f t="shared" si="22"/>
        <v/>
      </c>
      <c r="T113" s="13" t="str">
        <f t="shared" si="22"/>
        <v/>
      </c>
      <c r="U113" s="13" t="str">
        <f t="shared" si="22"/>
        <v/>
      </c>
      <c r="V113" s="13" t="str">
        <f t="shared" si="23"/>
        <v/>
      </c>
      <c r="W113" s="13" t="str">
        <f t="shared" si="23"/>
        <v/>
      </c>
      <c r="X113" s="13" t="str">
        <f t="shared" si="23"/>
        <v/>
      </c>
      <c r="Y113" s="13" t="str">
        <f t="shared" si="23"/>
        <v/>
      </c>
      <c r="Z113" s="13" t="str">
        <f t="shared" si="23"/>
        <v/>
      </c>
      <c r="AA113" s="13" t="str">
        <f t="shared" si="23"/>
        <v/>
      </c>
      <c r="AB113" s="13" t="str">
        <f t="shared" si="23"/>
        <v/>
      </c>
      <c r="AC113" s="13" t="str">
        <f t="shared" si="23"/>
        <v/>
      </c>
      <c r="AD113" s="13" t="str">
        <f t="shared" si="23"/>
        <v/>
      </c>
      <c r="AE113" s="13" t="str">
        <f t="shared" si="23"/>
        <v/>
      </c>
      <c r="AF113" s="13" t="str">
        <f t="shared" si="23"/>
        <v/>
      </c>
      <c r="AG113" s="37">
        <f t="shared" si="24"/>
        <v>0</v>
      </c>
      <c r="AH113" s="37">
        <f t="shared" si="17"/>
        <v>0</v>
      </c>
      <c r="AI113" s="37" t="e">
        <f>IF(E113&gt;0,AG113/Calculations!$AB$10,"")</f>
        <v>#DIV/0!</v>
      </c>
      <c r="AJ113" s="75"/>
      <c r="AK113" s="75"/>
      <c r="AL113" s="75"/>
      <c r="AM113" s="75"/>
      <c r="AN113" s="75"/>
      <c r="AO113" s="75"/>
      <c r="AP113" s="75"/>
      <c r="AQ113" s="75"/>
      <c r="AR113" s="75"/>
      <c r="AS113" s="75"/>
    </row>
    <row r="114" spans="1:45" s="74" customFormat="1" ht="13.8" x14ac:dyDescent="0.3">
      <c r="A114" s="55"/>
      <c r="B114" s="196" t="str">
        <f>B24</f>
        <v>NGN</v>
      </c>
      <c r="C114" s="4"/>
      <c r="D114" s="47"/>
      <c r="E114" s="139">
        <f>C16</f>
        <v>25</v>
      </c>
      <c r="F114" s="200"/>
      <c r="G114" s="13"/>
      <c r="H114" s="13"/>
      <c r="I114" s="13"/>
      <c r="J114" s="13"/>
      <c r="K114" s="199" t="str">
        <f>IF($C$16&gt;COUNT($E114:J114)*$E114,COUNT($E114:J114)*$E114,"")</f>
        <v/>
      </c>
      <c r="L114" s="13" t="str">
        <f t="shared" ref="L114:U125" si="25">IF(L$23=0,"",IF($F114=L$23,$C114,IF($G114=L$23,$C114,IF($H114=L$23,$C114,IF($I114=L$23,$C114,IF($J114=L$23,$C114,IF($K114=L$23,$C114,"")))))))</f>
        <v/>
      </c>
      <c r="M114" s="13" t="str">
        <f t="shared" si="25"/>
        <v/>
      </c>
      <c r="N114" s="13" t="str">
        <f t="shared" si="25"/>
        <v/>
      </c>
      <c r="O114" s="13" t="str">
        <f t="shared" si="25"/>
        <v/>
      </c>
      <c r="P114" s="13" t="str">
        <f t="shared" si="25"/>
        <v/>
      </c>
      <c r="Q114" s="13" t="str">
        <f t="shared" si="25"/>
        <v/>
      </c>
      <c r="R114" s="13" t="str">
        <f t="shared" si="25"/>
        <v/>
      </c>
      <c r="S114" s="13" t="str">
        <f t="shared" si="25"/>
        <v/>
      </c>
      <c r="T114" s="13" t="str">
        <f t="shared" si="25"/>
        <v/>
      </c>
      <c r="U114" s="13" t="str">
        <f t="shared" si="25"/>
        <v/>
      </c>
      <c r="V114" s="13" t="str">
        <f t="shared" ref="V114:AF125" si="26">IF(V$23=0,"",IF($F114=V$23,$C114,IF($G114=V$23,$C114,IF($H114=V$23,$C114,IF($I114=V$23,$C114,IF($J114=V$23,$C114,IF($K114=V$23,$C114,"")))))))</f>
        <v/>
      </c>
      <c r="W114" s="13" t="str">
        <f t="shared" si="26"/>
        <v/>
      </c>
      <c r="X114" s="13" t="str">
        <f t="shared" si="26"/>
        <v/>
      </c>
      <c r="Y114" s="13" t="str">
        <f t="shared" si="26"/>
        <v/>
      </c>
      <c r="Z114" s="13" t="str">
        <f t="shared" si="26"/>
        <v/>
      </c>
      <c r="AA114" s="13" t="str">
        <f t="shared" si="26"/>
        <v/>
      </c>
      <c r="AB114" s="13" t="str">
        <f t="shared" si="26"/>
        <v/>
      </c>
      <c r="AC114" s="13" t="str">
        <f t="shared" si="26"/>
        <v/>
      </c>
      <c r="AD114" s="13" t="str">
        <f t="shared" si="26"/>
        <v/>
      </c>
      <c r="AE114" s="13" t="str">
        <f t="shared" si="26"/>
        <v/>
      </c>
      <c r="AF114" s="13" t="str">
        <f t="shared" si="26"/>
        <v/>
      </c>
      <c r="AG114" s="37">
        <f t="shared" si="24"/>
        <v>0</v>
      </c>
      <c r="AH114" s="37">
        <f t="shared" si="17"/>
        <v>0</v>
      </c>
      <c r="AI114" s="37" t="e">
        <f>IF(E114&gt;0,AG114/Calculations!$AB$10,"")</f>
        <v>#DIV/0!</v>
      </c>
      <c r="AJ114" s="75"/>
      <c r="AK114" s="75"/>
      <c r="AL114" s="75"/>
      <c r="AM114" s="75"/>
      <c r="AN114" s="75"/>
      <c r="AO114" s="75"/>
      <c r="AP114" s="75"/>
      <c r="AQ114" s="75"/>
      <c r="AR114" s="75"/>
      <c r="AS114" s="75"/>
    </row>
    <row r="115" spans="1:45" s="74" customFormat="1" ht="13.8" x14ac:dyDescent="0.3">
      <c r="A115" s="55"/>
      <c r="B115" s="196" t="str">
        <f>B24</f>
        <v>NGN</v>
      </c>
      <c r="C115" s="4"/>
      <c r="D115" s="47"/>
      <c r="E115" s="139">
        <f>C16</f>
        <v>25</v>
      </c>
      <c r="F115" s="200"/>
      <c r="G115" s="13"/>
      <c r="H115" s="13"/>
      <c r="I115" s="13"/>
      <c r="J115" s="13"/>
      <c r="K115" s="199" t="str">
        <f>IF($C$16&gt;COUNT($E115:J115)*$E115,COUNT($E115:J115)*$E115,"")</f>
        <v/>
      </c>
      <c r="L115" s="13" t="str">
        <f t="shared" si="25"/>
        <v/>
      </c>
      <c r="M115" s="13" t="str">
        <f t="shared" si="25"/>
        <v/>
      </c>
      <c r="N115" s="13" t="str">
        <f t="shared" si="25"/>
        <v/>
      </c>
      <c r="O115" s="13" t="str">
        <f t="shared" si="25"/>
        <v/>
      </c>
      <c r="P115" s="13" t="str">
        <f t="shared" si="25"/>
        <v/>
      </c>
      <c r="Q115" s="13" t="str">
        <f t="shared" si="25"/>
        <v/>
      </c>
      <c r="R115" s="13" t="str">
        <f t="shared" si="25"/>
        <v/>
      </c>
      <c r="S115" s="13" t="str">
        <f t="shared" si="25"/>
        <v/>
      </c>
      <c r="T115" s="13" t="str">
        <f t="shared" si="25"/>
        <v/>
      </c>
      <c r="U115" s="13" t="str">
        <f t="shared" si="25"/>
        <v/>
      </c>
      <c r="V115" s="13" t="str">
        <f t="shared" si="26"/>
        <v/>
      </c>
      <c r="W115" s="13" t="str">
        <f t="shared" si="26"/>
        <v/>
      </c>
      <c r="X115" s="13" t="str">
        <f t="shared" si="26"/>
        <v/>
      </c>
      <c r="Y115" s="13" t="str">
        <f t="shared" si="26"/>
        <v/>
      </c>
      <c r="Z115" s="13" t="str">
        <f t="shared" si="26"/>
        <v/>
      </c>
      <c r="AA115" s="13" t="str">
        <f t="shared" si="26"/>
        <v/>
      </c>
      <c r="AB115" s="13" t="str">
        <f t="shared" si="26"/>
        <v/>
      </c>
      <c r="AC115" s="13" t="str">
        <f t="shared" si="26"/>
        <v/>
      </c>
      <c r="AD115" s="13" t="str">
        <f t="shared" si="26"/>
        <v/>
      </c>
      <c r="AE115" s="13" t="str">
        <f t="shared" si="26"/>
        <v/>
      </c>
      <c r="AF115" s="13" t="str">
        <f t="shared" si="26"/>
        <v/>
      </c>
      <c r="AG115" s="37">
        <f t="shared" si="24"/>
        <v>0</v>
      </c>
      <c r="AH115" s="37">
        <f t="shared" si="17"/>
        <v>0</v>
      </c>
      <c r="AI115" s="37" t="e">
        <f>IF(E115&gt;0,AG115/Calculations!$AB$10,"")</f>
        <v>#DIV/0!</v>
      </c>
      <c r="AJ115" s="75"/>
      <c r="AK115" s="75"/>
      <c r="AL115" s="75"/>
      <c r="AM115" s="75"/>
      <c r="AN115" s="75"/>
      <c r="AO115" s="75"/>
      <c r="AP115" s="75"/>
      <c r="AQ115" s="75"/>
      <c r="AR115" s="75"/>
      <c r="AS115" s="75"/>
    </row>
    <row r="116" spans="1:45" s="47" customFormat="1" x14ac:dyDescent="0.3">
      <c r="A116" s="585" t="s">
        <v>469</v>
      </c>
      <c r="B116" s="586"/>
      <c r="C116" s="587"/>
      <c r="E116" s="495"/>
      <c r="F116" s="200"/>
      <c r="G116" s="13"/>
      <c r="H116" s="13"/>
      <c r="I116" s="13"/>
      <c r="J116" s="13"/>
      <c r="K116" s="199"/>
      <c r="L116" s="13" t="str">
        <f t="shared" si="25"/>
        <v/>
      </c>
      <c r="M116" s="13" t="str">
        <f t="shared" si="25"/>
        <v/>
      </c>
      <c r="N116" s="13" t="str">
        <f t="shared" si="25"/>
        <v/>
      </c>
      <c r="O116" s="13" t="str">
        <f t="shared" si="25"/>
        <v/>
      </c>
      <c r="P116" s="13" t="str">
        <f t="shared" si="25"/>
        <v/>
      </c>
      <c r="Q116" s="13" t="str">
        <f t="shared" si="25"/>
        <v/>
      </c>
      <c r="R116" s="13" t="str">
        <f t="shared" si="25"/>
        <v/>
      </c>
      <c r="S116" s="13" t="str">
        <f t="shared" si="25"/>
        <v/>
      </c>
      <c r="T116" s="13" t="str">
        <f t="shared" si="25"/>
        <v/>
      </c>
      <c r="U116" s="13" t="str">
        <f t="shared" si="25"/>
        <v/>
      </c>
      <c r="V116" s="13" t="str">
        <f t="shared" si="26"/>
        <v/>
      </c>
      <c r="W116" s="13" t="str">
        <f t="shared" si="26"/>
        <v/>
      </c>
      <c r="X116" s="13" t="str">
        <f t="shared" si="26"/>
        <v/>
      </c>
      <c r="Y116" s="13" t="str">
        <f t="shared" si="26"/>
        <v/>
      </c>
      <c r="Z116" s="13" t="str">
        <f t="shared" si="26"/>
        <v/>
      </c>
      <c r="AA116" s="13" t="str">
        <f t="shared" si="26"/>
        <v/>
      </c>
      <c r="AB116" s="13" t="str">
        <f t="shared" si="26"/>
        <v/>
      </c>
      <c r="AC116" s="13" t="str">
        <f t="shared" si="26"/>
        <v/>
      </c>
      <c r="AD116" s="13" t="str">
        <f t="shared" si="26"/>
        <v/>
      </c>
      <c r="AE116" s="13" t="str">
        <f t="shared" si="26"/>
        <v/>
      </c>
      <c r="AF116" s="13" t="str">
        <f t="shared" si="26"/>
        <v/>
      </c>
      <c r="AG116" s="37">
        <f t="shared" si="24"/>
        <v>0</v>
      </c>
      <c r="AH116" s="37" t="str">
        <f t="shared" si="17"/>
        <v/>
      </c>
      <c r="AI116" s="37" t="str">
        <f>IF(E116&gt;0,AG116/Calculations!$AB$10,"")</f>
        <v/>
      </c>
      <c r="AJ116" s="61"/>
      <c r="AK116" s="61"/>
      <c r="AL116" s="61"/>
      <c r="AM116" s="61"/>
      <c r="AN116" s="61"/>
      <c r="AO116" s="61"/>
      <c r="AP116" s="61"/>
      <c r="AQ116" s="61"/>
      <c r="AR116" s="61"/>
      <c r="AS116" s="61"/>
    </row>
    <row r="117" spans="1:45" s="74" customFormat="1" ht="13.8" x14ac:dyDescent="0.3">
      <c r="A117" s="55" t="s">
        <v>76</v>
      </c>
      <c r="B117" s="196" t="str">
        <f>B25</f>
        <v>NGN</v>
      </c>
      <c r="C117" s="4"/>
      <c r="D117" s="47"/>
      <c r="E117" s="139">
        <v>5</v>
      </c>
      <c r="F117" s="200">
        <f>IF($C$16&gt;COUNT($E117:E117)*$E117,COUNT($E117:E117)*$E117,"")</f>
        <v>5</v>
      </c>
      <c r="G117" s="13">
        <f>IF($C$16&gt;COUNT($E117:F117)*$E117,COUNT($E117:F117)*$E117,"")</f>
        <v>10</v>
      </c>
      <c r="H117" s="13">
        <f>IF($C$16&gt;COUNT($E117:G117)*$E117,COUNT($E117:G117)*$E117,"")</f>
        <v>15</v>
      </c>
      <c r="I117" s="13">
        <f>IF($C$16&gt;COUNT($E117:H117)*$E117,COUNT($E117:H117)*$E117,"")</f>
        <v>20</v>
      </c>
      <c r="J117" s="13" t="str">
        <f>IF($C$16&gt;COUNT($E117:I117)*$E117,COUNT($E117:I117)*$E117,"")</f>
        <v/>
      </c>
      <c r="K117" s="199" t="str">
        <f>IF($C$16&gt;COUNT($E117:J117)*$E117,COUNT($E117:J117)*$E117,"")</f>
        <v/>
      </c>
      <c r="L117" s="13">
        <f t="shared" si="25"/>
        <v>0</v>
      </c>
      <c r="M117" s="13" t="str">
        <f t="shared" si="25"/>
        <v/>
      </c>
      <c r="N117" s="13" t="str">
        <f t="shared" si="25"/>
        <v/>
      </c>
      <c r="O117" s="13" t="str">
        <f t="shared" si="25"/>
        <v/>
      </c>
      <c r="P117" s="13" t="str">
        <f t="shared" si="25"/>
        <v/>
      </c>
      <c r="Q117" s="13">
        <f t="shared" si="25"/>
        <v>0</v>
      </c>
      <c r="R117" s="13" t="str">
        <f t="shared" si="25"/>
        <v/>
      </c>
      <c r="S117" s="13" t="str">
        <f t="shared" si="25"/>
        <v/>
      </c>
      <c r="T117" s="13" t="str">
        <f t="shared" si="25"/>
        <v/>
      </c>
      <c r="U117" s="13" t="str">
        <f t="shared" si="25"/>
        <v/>
      </c>
      <c r="V117" s="13">
        <f t="shared" si="26"/>
        <v>0</v>
      </c>
      <c r="W117" s="13" t="str">
        <f t="shared" si="26"/>
        <v/>
      </c>
      <c r="X117" s="13" t="str">
        <f t="shared" si="26"/>
        <v/>
      </c>
      <c r="Y117" s="13" t="str">
        <f t="shared" si="26"/>
        <v/>
      </c>
      <c r="Z117" s="13" t="str">
        <f t="shared" si="26"/>
        <v/>
      </c>
      <c r="AA117" s="13">
        <f t="shared" si="26"/>
        <v>0</v>
      </c>
      <c r="AB117" s="13" t="str">
        <f t="shared" si="26"/>
        <v/>
      </c>
      <c r="AC117" s="13" t="str">
        <f t="shared" si="26"/>
        <v/>
      </c>
      <c r="AD117" s="13" t="str">
        <f t="shared" si="26"/>
        <v/>
      </c>
      <c r="AE117" s="13" t="str">
        <f t="shared" si="26"/>
        <v/>
      </c>
      <c r="AF117" s="13" t="str">
        <f t="shared" si="26"/>
        <v/>
      </c>
      <c r="AG117" s="37">
        <f t="shared" si="24"/>
        <v>0</v>
      </c>
      <c r="AH117" s="37">
        <f t="shared" si="17"/>
        <v>0</v>
      </c>
      <c r="AI117" s="37" t="e">
        <f>IF(E117&gt;0,AG117/Calculations!$AB$10,"")</f>
        <v>#DIV/0!</v>
      </c>
      <c r="AJ117" s="75"/>
      <c r="AK117" s="75"/>
      <c r="AL117" s="75"/>
      <c r="AM117" s="75"/>
      <c r="AN117" s="75"/>
      <c r="AO117" s="75"/>
      <c r="AP117" s="75"/>
      <c r="AQ117" s="75"/>
      <c r="AR117" s="75"/>
      <c r="AS117" s="75"/>
    </row>
    <row r="118" spans="1:45" s="74" customFormat="1" ht="13.8" x14ac:dyDescent="0.3">
      <c r="A118" s="55" t="s">
        <v>77</v>
      </c>
      <c r="B118" s="196" t="str">
        <f>B25</f>
        <v>NGN</v>
      </c>
      <c r="C118" s="4"/>
      <c r="D118" s="47"/>
      <c r="E118" s="139">
        <v>10</v>
      </c>
      <c r="F118" s="200">
        <f>IF($C$16&gt;COUNT($E118:E118)*$E118,COUNT($E118:E118)*$E118,"")</f>
        <v>10</v>
      </c>
      <c r="G118" s="13">
        <f>IF($C$16&gt;COUNT($E118:F118)*$E118,COUNT($E118:F118)*$E118,"")</f>
        <v>20</v>
      </c>
      <c r="H118" s="13" t="str">
        <f>IF($C$16&gt;COUNT($E118:G118)*$E118,COUNT($E118:G118)*$E118,"")</f>
        <v/>
      </c>
      <c r="I118" s="13" t="str">
        <f>IF($C$16&gt;COUNT($E118:H118)*$E118,COUNT($E118:H118)*$E118,"")</f>
        <v/>
      </c>
      <c r="J118" s="13" t="str">
        <f>IF($C$16&gt;COUNT($E118:I118)*$E118,COUNT($E118:I118)*$E118,"")</f>
        <v/>
      </c>
      <c r="K118" s="199" t="str">
        <f>IF($C$16&gt;COUNT($E118:J118)*$E118,COUNT($E118:J118)*$E118,"")</f>
        <v/>
      </c>
      <c r="L118" s="13" t="str">
        <f t="shared" si="25"/>
        <v/>
      </c>
      <c r="M118" s="13" t="str">
        <f t="shared" si="25"/>
        <v/>
      </c>
      <c r="N118" s="13" t="str">
        <f t="shared" si="25"/>
        <v/>
      </c>
      <c r="O118" s="13" t="str">
        <f t="shared" si="25"/>
        <v/>
      </c>
      <c r="P118" s="13" t="str">
        <f t="shared" si="25"/>
        <v/>
      </c>
      <c r="Q118" s="13">
        <f t="shared" si="25"/>
        <v>0</v>
      </c>
      <c r="R118" s="13" t="str">
        <f t="shared" si="25"/>
        <v/>
      </c>
      <c r="S118" s="13" t="str">
        <f t="shared" si="25"/>
        <v/>
      </c>
      <c r="T118" s="13" t="str">
        <f t="shared" si="25"/>
        <v/>
      </c>
      <c r="U118" s="13" t="str">
        <f t="shared" si="25"/>
        <v/>
      </c>
      <c r="V118" s="13" t="str">
        <f t="shared" si="26"/>
        <v/>
      </c>
      <c r="W118" s="13" t="str">
        <f t="shared" si="26"/>
        <v/>
      </c>
      <c r="X118" s="13" t="str">
        <f t="shared" si="26"/>
        <v/>
      </c>
      <c r="Y118" s="13" t="str">
        <f t="shared" si="26"/>
        <v/>
      </c>
      <c r="Z118" s="13" t="str">
        <f t="shared" si="26"/>
        <v/>
      </c>
      <c r="AA118" s="13">
        <f t="shared" si="26"/>
        <v>0</v>
      </c>
      <c r="AB118" s="13" t="str">
        <f t="shared" si="26"/>
        <v/>
      </c>
      <c r="AC118" s="13" t="str">
        <f t="shared" si="26"/>
        <v/>
      </c>
      <c r="AD118" s="13" t="str">
        <f t="shared" si="26"/>
        <v/>
      </c>
      <c r="AE118" s="13" t="str">
        <f t="shared" si="26"/>
        <v/>
      </c>
      <c r="AF118" s="13" t="str">
        <f t="shared" si="26"/>
        <v/>
      </c>
      <c r="AG118" s="37">
        <f t="shared" si="24"/>
        <v>0</v>
      </c>
      <c r="AH118" s="37">
        <f t="shared" si="17"/>
        <v>0</v>
      </c>
      <c r="AI118" s="37" t="e">
        <f>IF(E118&gt;0,AG118/Calculations!$AB$10,"")</f>
        <v>#DIV/0!</v>
      </c>
      <c r="AJ118" s="75"/>
      <c r="AK118" s="75"/>
      <c r="AL118" s="75"/>
      <c r="AM118" s="75"/>
      <c r="AN118" s="75"/>
      <c r="AO118" s="75"/>
      <c r="AP118" s="75"/>
      <c r="AQ118" s="75"/>
      <c r="AR118" s="75"/>
      <c r="AS118" s="75"/>
    </row>
    <row r="119" spans="1:45" s="74" customFormat="1" ht="13.8" x14ac:dyDescent="0.3">
      <c r="A119" s="55" t="s">
        <v>78</v>
      </c>
      <c r="B119" s="196" t="str">
        <f>B25</f>
        <v>NGN</v>
      </c>
      <c r="C119" s="4"/>
      <c r="D119" s="47"/>
      <c r="E119" s="139">
        <v>5</v>
      </c>
      <c r="F119" s="200">
        <f>IF($C$16&gt;COUNT($E119:E119)*$E119,COUNT($E119:E119)*$E119,"")</f>
        <v>5</v>
      </c>
      <c r="G119" s="13">
        <f>IF($C$16&gt;COUNT($E119:F119)*$E119,COUNT($E119:F119)*$E119,"")</f>
        <v>10</v>
      </c>
      <c r="H119" s="13">
        <f>IF($C$16&gt;COUNT($E119:G119)*$E119,COUNT($E119:G119)*$E119,"")</f>
        <v>15</v>
      </c>
      <c r="I119" s="13">
        <f>IF($C$16&gt;COUNT($E119:H119)*$E119,COUNT($E119:H119)*$E119,"")</f>
        <v>20</v>
      </c>
      <c r="J119" s="13" t="str">
        <f>IF($C$16&gt;COUNT($E119:I119)*$E119,COUNT($E119:I119)*$E119,"")</f>
        <v/>
      </c>
      <c r="K119" s="199" t="str">
        <f>IF($C$16&gt;COUNT($E119:J119)*$E119,COUNT($E119:J119)*$E119,"")</f>
        <v/>
      </c>
      <c r="L119" s="13">
        <f t="shared" si="25"/>
        <v>0</v>
      </c>
      <c r="M119" s="13" t="str">
        <f t="shared" si="25"/>
        <v/>
      </c>
      <c r="N119" s="13" t="str">
        <f t="shared" si="25"/>
        <v/>
      </c>
      <c r="O119" s="13" t="str">
        <f t="shared" si="25"/>
        <v/>
      </c>
      <c r="P119" s="13" t="str">
        <f t="shared" si="25"/>
        <v/>
      </c>
      <c r="Q119" s="13">
        <f t="shared" si="25"/>
        <v>0</v>
      </c>
      <c r="R119" s="13" t="str">
        <f t="shared" si="25"/>
        <v/>
      </c>
      <c r="S119" s="13" t="str">
        <f t="shared" si="25"/>
        <v/>
      </c>
      <c r="T119" s="13" t="str">
        <f t="shared" si="25"/>
        <v/>
      </c>
      <c r="U119" s="13" t="str">
        <f t="shared" si="25"/>
        <v/>
      </c>
      <c r="V119" s="13">
        <f t="shared" si="26"/>
        <v>0</v>
      </c>
      <c r="W119" s="13" t="str">
        <f t="shared" si="26"/>
        <v/>
      </c>
      <c r="X119" s="13" t="str">
        <f t="shared" si="26"/>
        <v/>
      </c>
      <c r="Y119" s="13" t="str">
        <f t="shared" si="26"/>
        <v/>
      </c>
      <c r="Z119" s="13" t="str">
        <f t="shared" si="26"/>
        <v/>
      </c>
      <c r="AA119" s="13">
        <f t="shared" si="26"/>
        <v>0</v>
      </c>
      <c r="AB119" s="13" t="str">
        <f t="shared" si="26"/>
        <v/>
      </c>
      <c r="AC119" s="13" t="str">
        <f t="shared" si="26"/>
        <v/>
      </c>
      <c r="AD119" s="13" t="str">
        <f t="shared" si="26"/>
        <v/>
      </c>
      <c r="AE119" s="13" t="str">
        <f t="shared" si="26"/>
        <v/>
      </c>
      <c r="AF119" s="13" t="str">
        <f t="shared" si="26"/>
        <v/>
      </c>
      <c r="AG119" s="37">
        <f t="shared" si="24"/>
        <v>0</v>
      </c>
      <c r="AH119" s="37">
        <f t="shared" si="17"/>
        <v>0</v>
      </c>
      <c r="AI119" s="37" t="e">
        <f>IF(E119&gt;0,AG119/Calculations!$AB$10,"")</f>
        <v>#DIV/0!</v>
      </c>
      <c r="AJ119" s="75"/>
      <c r="AK119" s="75"/>
      <c r="AL119" s="75"/>
      <c r="AM119" s="75"/>
      <c r="AN119" s="75"/>
      <c r="AO119" s="75"/>
      <c r="AP119" s="75"/>
      <c r="AQ119" s="75"/>
      <c r="AR119" s="75"/>
      <c r="AS119" s="75"/>
    </row>
    <row r="120" spans="1:45" s="74" customFormat="1" ht="13.8" x14ac:dyDescent="0.3">
      <c r="A120" s="55" t="s">
        <v>236</v>
      </c>
      <c r="B120" s="196" t="str">
        <f>B25</f>
        <v>NGN</v>
      </c>
      <c r="C120" s="4"/>
      <c r="D120" s="47"/>
      <c r="E120" s="139">
        <f>C16</f>
        <v>25</v>
      </c>
      <c r="F120" s="200" t="str">
        <f>IF($C$16&gt;COUNT($E120:E120)*$E120,COUNT($E120:E120)*$E120,"")</f>
        <v/>
      </c>
      <c r="G120" s="13" t="str">
        <f>IF($C$16&gt;COUNT($E120:F120)*$E120,COUNT($E120:F120)*$E120,"")</f>
        <v/>
      </c>
      <c r="H120" s="13" t="str">
        <f>IF($C$16&gt;COUNT($E120:G120)*$E120,COUNT($E120:G120)*$E120,"")</f>
        <v/>
      </c>
      <c r="I120" s="13" t="str">
        <f>IF($C$16&gt;COUNT($E120:H120)*$E120,COUNT($E120:H120)*$E120,"")</f>
        <v/>
      </c>
      <c r="J120" s="13" t="str">
        <f>IF($C$16&gt;COUNT($E120:I120)*$E120,COUNT($E120:I120)*$E120,"")</f>
        <v/>
      </c>
      <c r="K120" s="199" t="str">
        <f>IF($C$16&gt;COUNT($E120:J120)*$E120,COUNT($E120:J120)*$E120,"")</f>
        <v/>
      </c>
      <c r="L120" s="13" t="str">
        <f t="shared" si="25"/>
        <v/>
      </c>
      <c r="M120" s="13" t="str">
        <f t="shared" si="25"/>
        <v/>
      </c>
      <c r="N120" s="13" t="str">
        <f t="shared" si="25"/>
        <v/>
      </c>
      <c r="O120" s="13" t="str">
        <f t="shared" si="25"/>
        <v/>
      </c>
      <c r="P120" s="13" t="str">
        <f t="shared" si="25"/>
        <v/>
      </c>
      <c r="Q120" s="13" t="str">
        <f t="shared" si="25"/>
        <v/>
      </c>
      <c r="R120" s="13" t="str">
        <f t="shared" si="25"/>
        <v/>
      </c>
      <c r="S120" s="13" t="str">
        <f t="shared" si="25"/>
        <v/>
      </c>
      <c r="T120" s="13" t="str">
        <f t="shared" si="25"/>
        <v/>
      </c>
      <c r="U120" s="13" t="str">
        <f t="shared" si="25"/>
        <v/>
      </c>
      <c r="V120" s="13" t="str">
        <f t="shared" si="26"/>
        <v/>
      </c>
      <c r="W120" s="13" t="str">
        <f t="shared" si="26"/>
        <v/>
      </c>
      <c r="X120" s="13" t="str">
        <f t="shared" si="26"/>
        <v/>
      </c>
      <c r="Y120" s="13" t="str">
        <f t="shared" si="26"/>
        <v/>
      </c>
      <c r="Z120" s="13" t="str">
        <f t="shared" si="26"/>
        <v/>
      </c>
      <c r="AA120" s="13" t="str">
        <f t="shared" si="26"/>
        <v/>
      </c>
      <c r="AB120" s="13" t="str">
        <f t="shared" si="26"/>
        <v/>
      </c>
      <c r="AC120" s="13" t="str">
        <f t="shared" si="26"/>
        <v/>
      </c>
      <c r="AD120" s="13" t="str">
        <f t="shared" si="26"/>
        <v/>
      </c>
      <c r="AE120" s="13" t="str">
        <f t="shared" si="26"/>
        <v/>
      </c>
      <c r="AF120" s="13" t="str">
        <f t="shared" si="26"/>
        <v/>
      </c>
      <c r="AG120" s="37">
        <f>IF(E120&gt;0,C120/E120*$C$16,C120)</f>
        <v>0</v>
      </c>
      <c r="AH120" s="37">
        <f t="shared" ref="AH120:AH125" si="27">IF(E120&gt;0,AG120/$C$16,"")</f>
        <v>0</v>
      </c>
      <c r="AI120" s="37" t="e">
        <f>IF(E120&gt;0,AG120/Calculations!$AB$10,"")</f>
        <v>#DIV/0!</v>
      </c>
      <c r="AJ120" s="75"/>
      <c r="AK120" s="75"/>
      <c r="AL120" s="75"/>
      <c r="AM120" s="75"/>
      <c r="AN120" s="75"/>
      <c r="AO120" s="75"/>
      <c r="AP120" s="75"/>
      <c r="AQ120" s="75"/>
      <c r="AR120" s="75"/>
      <c r="AS120" s="75"/>
    </row>
    <row r="121" spans="1:45" s="74" customFormat="1" ht="13.8" x14ac:dyDescent="0.3">
      <c r="A121" s="55"/>
      <c r="B121" s="196" t="str">
        <f>B26</f>
        <v>NGN</v>
      </c>
      <c r="C121" s="4"/>
      <c r="D121" s="47"/>
      <c r="E121" s="139">
        <f>C16</f>
        <v>25</v>
      </c>
      <c r="F121" s="200" t="str">
        <f>IF($C$16&gt;COUNT($E121:E121)*$E121,COUNT($E121:E121)*$E121,"")</f>
        <v/>
      </c>
      <c r="G121" s="13" t="str">
        <f>IF($C$16&gt;COUNT($E121:F121)*$E121,COUNT($E121:F121)*$E121,"")</f>
        <v/>
      </c>
      <c r="H121" s="13" t="str">
        <f>IF($C$16&gt;COUNT($E121:G121)*$E121,COUNT($E121:G121)*$E121,"")</f>
        <v/>
      </c>
      <c r="I121" s="13" t="str">
        <f>IF($C$16&gt;COUNT($E121:H121)*$E121,COUNT($E121:H121)*$E121,"")</f>
        <v/>
      </c>
      <c r="J121" s="13" t="str">
        <f>IF($C$16&gt;COUNT($E121:I121)*$E121,COUNT($E121:I121)*$E121,"")</f>
        <v/>
      </c>
      <c r="K121" s="199" t="str">
        <f>IF($C$16&gt;COUNT($E121:J121)*$E121,COUNT($E121:J121)*$E121,"")</f>
        <v/>
      </c>
      <c r="L121" s="13" t="str">
        <f t="shared" si="25"/>
        <v/>
      </c>
      <c r="M121" s="13" t="str">
        <f t="shared" si="25"/>
        <v/>
      </c>
      <c r="N121" s="13" t="str">
        <f t="shared" si="25"/>
        <v/>
      </c>
      <c r="O121" s="13" t="str">
        <f t="shared" si="25"/>
        <v/>
      </c>
      <c r="P121" s="13" t="str">
        <f t="shared" si="25"/>
        <v/>
      </c>
      <c r="Q121" s="13" t="str">
        <f t="shared" si="25"/>
        <v/>
      </c>
      <c r="R121" s="13" t="str">
        <f t="shared" si="25"/>
        <v/>
      </c>
      <c r="S121" s="13" t="str">
        <f t="shared" si="25"/>
        <v/>
      </c>
      <c r="T121" s="13" t="str">
        <f t="shared" si="25"/>
        <v/>
      </c>
      <c r="U121" s="13" t="str">
        <f t="shared" si="25"/>
        <v/>
      </c>
      <c r="V121" s="13" t="str">
        <f t="shared" si="26"/>
        <v/>
      </c>
      <c r="W121" s="13" t="str">
        <f t="shared" si="26"/>
        <v/>
      </c>
      <c r="X121" s="13" t="str">
        <f t="shared" si="26"/>
        <v/>
      </c>
      <c r="Y121" s="13" t="str">
        <f t="shared" si="26"/>
        <v/>
      </c>
      <c r="Z121" s="13" t="str">
        <f t="shared" si="26"/>
        <v/>
      </c>
      <c r="AA121" s="13" t="str">
        <f t="shared" si="26"/>
        <v/>
      </c>
      <c r="AB121" s="13" t="str">
        <f t="shared" si="26"/>
        <v/>
      </c>
      <c r="AC121" s="13" t="str">
        <f t="shared" si="26"/>
        <v/>
      </c>
      <c r="AD121" s="13" t="str">
        <f t="shared" si="26"/>
        <v/>
      </c>
      <c r="AE121" s="13" t="str">
        <f t="shared" si="26"/>
        <v/>
      </c>
      <c r="AF121" s="13" t="str">
        <f t="shared" si="26"/>
        <v/>
      </c>
      <c r="AG121" s="37">
        <f t="shared" si="24"/>
        <v>0</v>
      </c>
      <c r="AH121" s="37">
        <f t="shared" si="27"/>
        <v>0</v>
      </c>
      <c r="AI121" s="37" t="e">
        <f>IF(E121&gt;0,AG121/Calculations!$AB$10,"")</f>
        <v>#DIV/0!</v>
      </c>
      <c r="AJ121" s="75"/>
      <c r="AK121" s="75"/>
      <c r="AL121" s="75"/>
      <c r="AM121" s="75"/>
      <c r="AN121" s="75"/>
      <c r="AO121" s="75"/>
      <c r="AP121" s="75"/>
      <c r="AQ121" s="75"/>
      <c r="AR121" s="75"/>
      <c r="AS121" s="75"/>
    </row>
    <row r="122" spans="1:45" s="74" customFormat="1" ht="13.8" x14ac:dyDescent="0.3">
      <c r="A122" s="55"/>
      <c r="B122" s="196" t="str">
        <f>B27</f>
        <v>NGN</v>
      </c>
      <c r="C122" s="4"/>
      <c r="D122" s="47"/>
      <c r="E122" s="139">
        <f>C16</f>
        <v>25</v>
      </c>
      <c r="F122" s="200" t="str">
        <f>IF($C$16&gt;COUNT($E122:E122)*$E122,COUNT($E122:E122)*$E122,"")</f>
        <v/>
      </c>
      <c r="G122" s="13" t="str">
        <f>IF($C$16&gt;COUNT($E122:F122)*$E122,COUNT($E122:F122)*$E122,"")</f>
        <v/>
      </c>
      <c r="H122" s="13" t="str">
        <f>IF($C$16&gt;COUNT($E122:G122)*$E122,COUNT($E122:G122)*$E122,"")</f>
        <v/>
      </c>
      <c r="I122" s="13" t="str">
        <f>IF($C$16&gt;COUNT($E122:H122)*$E122,COUNT($E122:H122)*$E122,"")</f>
        <v/>
      </c>
      <c r="J122" s="13" t="str">
        <f>IF($C$16&gt;COUNT($E122:I122)*$E122,COUNT($E122:I122)*$E122,"")</f>
        <v/>
      </c>
      <c r="K122" s="199" t="str">
        <f>IF($C$16&gt;COUNT($E122:J122)*$E122,COUNT($E122:J122)*$E122,"")</f>
        <v/>
      </c>
      <c r="L122" s="13" t="str">
        <f t="shared" si="25"/>
        <v/>
      </c>
      <c r="M122" s="13" t="str">
        <f t="shared" si="25"/>
        <v/>
      </c>
      <c r="N122" s="13" t="str">
        <f t="shared" si="25"/>
        <v/>
      </c>
      <c r="O122" s="13" t="str">
        <f t="shared" si="25"/>
        <v/>
      </c>
      <c r="P122" s="13" t="str">
        <f t="shared" si="25"/>
        <v/>
      </c>
      <c r="Q122" s="13" t="str">
        <f t="shared" si="25"/>
        <v/>
      </c>
      <c r="R122" s="13" t="str">
        <f t="shared" si="25"/>
        <v/>
      </c>
      <c r="S122" s="13" t="str">
        <f t="shared" si="25"/>
        <v/>
      </c>
      <c r="T122" s="13" t="str">
        <f t="shared" si="25"/>
        <v/>
      </c>
      <c r="U122" s="13" t="str">
        <f t="shared" si="25"/>
        <v/>
      </c>
      <c r="V122" s="13" t="str">
        <f t="shared" si="26"/>
        <v/>
      </c>
      <c r="W122" s="13" t="str">
        <f t="shared" si="26"/>
        <v/>
      </c>
      <c r="X122" s="13" t="str">
        <f t="shared" si="26"/>
        <v/>
      </c>
      <c r="Y122" s="13" t="str">
        <f t="shared" si="26"/>
        <v/>
      </c>
      <c r="Z122" s="13" t="str">
        <f t="shared" si="26"/>
        <v/>
      </c>
      <c r="AA122" s="13" t="str">
        <f t="shared" si="26"/>
        <v/>
      </c>
      <c r="AB122" s="13" t="str">
        <f t="shared" si="26"/>
        <v/>
      </c>
      <c r="AC122" s="13" t="str">
        <f t="shared" si="26"/>
        <v/>
      </c>
      <c r="AD122" s="13" t="str">
        <f t="shared" si="26"/>
        <v/>
      </c>
      <c r="AE122" s="13" t="str">
        <f t="shared" si="26"/>
        <v/>
      </c>
      <c r="AF122" s="13" t="str">
        <f t="shared" si="26"/>
        <v/>
      </c>
      <c r="AG122" s="37">
        <f t="shared" si="24"/>
        <v>0</v>
      </c>
      <c r="AH122" s="37">
        <f t="shared" si="27"/>
        <v>0</v>
      </c>
      <c r="AI122" s="37" t="e">
        <f>IF(E122&gt;0,AG122/Calculations!$AB$10,"")</f>
        <v>#DIV/0!</v>
      </c>
      <c r="AJ122" s="75"/>
      <c r="AK122" s="75"/>
      <c r="AL122" s="75"/>
      <c r="AM122" s="75"/>
      <c r="AN122" s="75"/>
      <c r="AO122" s="75"/>
      <c r="AP122" s="75"/>
      <c r="AQ122" s="75"/>
      <c r="AR122" s="75"/>
      <c r="AS122" s="75"/>
    </row>
    <row r="123" spans="1:45" x14ac:dyDescent="0.3">
      <c r="A123" s="585" t="s">
        <v>454</v>
      </c>
      <c r="B123" s="586"/>
      <c r="C123" s="587"/>
      <c r="E123" s="497"/>
      <c r="F123" s="202"/>
      <c r="G123" s="2"/>
      <c r="H123" s="2"/>
      <c r="I123" s="2"/>
      <c r="J123" s="2"/>
      <c r="K123" s="203"/>
      <c r="L123" s="13" t="str">
        <f t="shared" si="25"/>
        <v/>
      </c>
      <c r="M123" s="13" t="str">
        <f t="shared" si="25"/>
        <v/>
      </c>
      <c r="N123" s="13" t="str">
        <f t="shared" si="25"/>
        <v/>
      </c>
      <c r="O123" s="13" t="str">
        <f t="shared" si="25"/>
        <v/>
      </c>
      <c r="P123" s="13" t="str">
        <f t="shared" si="25"/>
        <v/>
      </c>
      <c r="Q123" s="13" t="str">
        <f t="shared" si="25"/>
        <v/>
      </c>
      <c r="R123" s="13" t="str">
        <f t="shared" si="25"/>
        <v/>
      </c>
      <c r="S123" s="13" t="str">
        <f t="shared" si="25"/>
        <v/>
      </c>
      <c r="T123" s="13" t="str">
        <f t="shared" si="25"/>
        <v/>
      </c>
      <c r="U123" s="13" t="str">
        <f t="shared" si="25"/>
        <v/>
      </c>
      <c r="V123" s="13" t="str">
        <f t="shared" si="26"/>
        <v/>
      </c>
      <c r="W123" s="13" t="str">
        <f t="shared" si="26"/>
        <v/>
      </c>
      <c r="X123" s="13" t="str">
        <f t="shared" si="26"/>
        <v/>
      </c>
      <c r="Y123" s="13" t="str">
        <f t="shared" si="26"/>
        <v/>
      </c>
      <c r="Z123" s="13" t="str">
        <f t="shared" si="26"/>
        <v/>
      </c>
      <c r="AA123" s="13" t="str">
        <f t="shared" si="26"/>
        <v/>
      </c>
      <c r="AB123" s="13" t="str">
        <f t="shared" si="26"/>
        <v/>
      </c>
      <c r="AC123" s="13" t="str">
        <f t="shared" si="26"/>
        <v/>
      </c>
      <c r="AD123" s="13" t="str">
        <f t="shared" si="26"/>
        <v/>
      </c>
      <c r="AE123" s="13" t="str">
        <f t="shared" si="26"/>
        <v/>
      </c>
      <c r="AF123" s="13" t="str">
        <f t="shared" si="26"/>
        <v/>
      </c>
      <c r="AG123" s="37">
        <f>IF(E123&gt;0,C123/E123*$C$16,C123)</f>
        <v>0</v>
      </c>
      <c r="AH123" s="37" t="str">
        <f t="shared" si="27"/>
        <v/>
      </c>
      <c r="AI123" s="37" t="str">
        <f>IF(E123&gt;0,AG123/Calculations!$AB$10,"")</f>
        <v/>
      </c>
      <c r="AJ123" s="57"/>
      <c r="AK123" s="57"/>
      <c r="AL123" s="57"/>
      <c r="AM123" s="57"/>
      <c r="AN123" s="57"/>
      <c r="AO123" s="57"/>
      <c r="AP123" s="57"/>
      <c r="AQ123" s="57"/>
      <c r="AR123" s="57"/>
      <c r="AS123" s="57"/>
    </row>
    <row r="124" spans="1:45" s="47" customFormat="1" thickBot="1" x14ac:dyDescent="0.35">
      <c r="A124" s="79" t="s">
        <v>38</v>
      </c>
      <c r="B124" s="204" t="str">
        <f>B25</f>
        <v>NGN</v>
      </c>
      <c r="C124" s="191">
        <f>Inputs!C193</f>
        <v>0</v>
      </c>
      <c r="E124" s="139">
        <f>C16</f>
        <v>25</v>
      </c>
      <c r="F124" s="39" t="str">
        <f>IF($C$16&gt;COUNT($E124:E124)*$E124,COUNT($E124:E124)*$E124,"")</f>
        <v/>
      </c>
      <c r="G124" s="11" t="str">
        <f>IF($C$16&gt;COUNT($E124:F124)*$E124,COUNT($E124:F124)*$E124,"")</f>
        <v/>
      </c>
      <c r="H124" s="11" t="str">
        <f>IF($C$16&gt;COUNT($E124:G124)*$E124,COUNT($E124:G124)*$E124,"")</f>
        <v/>
      </c>
      <c r="I124" s="11" t="str">
        <f>IF($C$16&gt;COUNT($E124:H124)*$E124,COUNT($E124:H124)*$E124,"")</f>
        <v/>
      </c>
      <c r="J124" s="11"/>
      <c r="K124" s="40"/>
      <c r="L124" s="11" t="str">
        <f t="shared" si="25"/>
        <v/>
      </c>
      <c r="M124" s="11" t="str">
        <f t="shared" si="25"/>
        <v/>
      </c>
      <c r="N124" s="11" t="str">
        <f t="shared" si="25"/>
        <v/>
      </c>
      <c r="O124" s="11" t="str">
        <f t="shared" si="25"/>
        <v/>
      </c>
      <c r="P124" s="11" t="str">
        <f t="shared" si="25"/>
        <v/>
      </c>
      <c r="Q124" s="11" t="str">
        <f t="shared" si="25"/>
        <v/>
      </c>
      <c r="R124" s="11" t="str">
        <f t="shared" si="25"/>
        <v/>
      </c>
      <c r="S124" s="11" t="str">
        <f t="shared" si="25"/>
        <v/>
      </c>
      <c r="T124" s="11" t="str">
        <f t="shared" si="25"/>
        <v/>
      </c>
      <c r="U124" s="11" t="str">
        <f t="shared" si="25"/>
        <v/>
      </c>
      <c r="V124" s="11" t="str">
        <f t="shared" si="26"/>
        <v/>
      </c>
      <c r="W124" s="11" t="str">
        <f t="shared" si="26"/>
        <v/>
      </c>
      <c r="X124" s="11" t="str">
        <f t="shared" si="26"/>
        <v/>
      </c>
      <c r="Y124" s="11" t="str">
        <f t="shared" si="26"/>
        <v/>
      </c>
      <c r="Z124" s="11" t="str">
        <f t="shared" si="26"/>
        <v/>
      </c>
      <c r="AA124" s="11" t="str">
        <f t="shared" si="26"/>
        <v/>
      </c>
      <c r="AB124" s="11" t="str">
        <f t="shared" si="26"/>
        <v/>
      </c>
      <c r="AC124" s="11" t="str">
        <f t="shared" si="26"/>
        <v/>
      </c>
      <c r="AD124" s="11" t="str">
        <f t="shared" si="26"/>
        <v/>
      </c>
      <c r="AE124" s="11" t="str">
        <f t="shared" si="26"/>
        <v/>
      </c>
      <c r="AF124" s="11" t="str">
        <f t="shared" si="26"/>
        <v/>
      </c>
      <c r="AG124" s="37">
        <f t="shared" ref="AG124:AG125" si="28">IF(E124&gt;0,C124/E124*$C$16,C124)</f>
        <v>0</v>
      </c>
      <c r="AH124" s="37">
        <f t="shared" si="27"/>
        <v>0</v>
      </c>
      <c r="AI124" s="37" t="e">
        <f>IF(E124&gt;0,AG124/Calculations!$AB$10,"")</f>
        <v>#DIV/0!</v>
      </c>
      <c r="AJ124" s="61"/>
      <c r="AK124" s="61"/>
      <c r="AL124" s="61"/>
      <c r="AM124" s="61"/>
      <c r="AN124" s="61"/>
      <c r="AO124" s="61"/>
      <c r="AP124" s="61"/>
      <c r="AQ124" s="61"/>
      <c r="AR124" s="61"/>
      <c r="AS124" s="61"/>
    </row>
    <row r="125" spans="1:45" s="47" customFormat="1" thickTop="1" x14ac:dyDescent="0.3">
      <c r="A125" s="77"/>
      <c r="B125" s="60"/>
      <c r="C125" s="81"/>
      <c r="E125" s="498"/>
      <c r="F125" s="39"/>
      <c r="G125" s="11"/>
      <c r="H125" s="11"/>
      <c r="I125" s="11"/>
      <c r="J125" s="11"/>
      <c r="K125" s="40"/>
      <c r="L125" s="11" t="str">
        <f t="shared" si="25"/>
        <v/>
      </c>
      <c r="M125" s="11" t="str">
        <f t="shared" si="25"/>
        <v/>
      </c>
      <c r="N125" s="11" t="str">
        <f t="shared" si="25"/>
        <v/>
      </c>
      <c r="O125" s="11" t="str">
        <f t="shared" si="25"/>
        <v/>
      </c>
      <c r="P125" s="11" t="str">
        <f t="shared" si="25"/>
        <v/>
      </c>
      <c r="Q125" s="11" t="str">
        <f t="shared" si="25"/>
        <v/>
      </c>
      <c r="R125" s="11" t="str">
        <f t="shared" si="25"/>
        <v/>
      </c>
      <c r="S125" s="11" t="str">
        <f t="shared" si="25"/>
        <v/>
      </c>
      <c r="T125" s="11" t="str">
        <f t="shared" si="25"/>
        <v/>
      </c>
      <c r="U125" s="11" t="str">
        <f t="shared" si="25"/>
        <v/>
      </c>
      <c r="V125" s="11" t="str">
        <f t="shared" si="26"/>
        <v/>
      </c>
      <c r="W125" s="11" t="str">
        <f t="shared" si="26"/>
        <v/>
      </c>
      <c r="X125" s="11" t="str">
        <f t="shared" si="26"/>
        <v/>
      </c>
      <c r="Y125" s="11" t="str">
        <f t="shared" si="26"/>
        <v/>
      </c>
      <c r="Z125" s="11" t="str">
        <f t="shared" si="26"/>
        <v/>
      </c>
      <c r="AA125" s="11" t="str">
        <f t="shared" si="26"/>
        <v/>
      </c>
      <c r="AB125" s="11" t="str">
        <f t="shared" si="26"/>
        <v/>
      </c>
      <c r="AC125" s="11" t="str">
        <f t="shared" si="26"/>
        <v/>
      </c>
      <c r="AD125" s="11" t="str">
        <f t="shared" si="26"/>
        <v/>
      </c>
      <c r="AE125" s="11" t="str">
        <f t="shared" si="26"/>
        <v/>
      </c>
      <c r="AF125" s="11" t="str">
        <f t="shared" si="26"/>
        <v/>
      </c>
      <c r="AG125" s="37">
        <f t="shared" si="28"/>
        <v>0</v>
      </c>
      <c r="AH125" s="37" t="str">
        <f t="shared" si="27"/>
        <v/>
      </c>
      <c r="AI125" s="37" t="str">
        <f>IF(E125&gt;0,AG125/Calculations!$AB$10,"")</f>
        <v/>
      </c>
      <c r="AJ125" s="61"/>
      <c r="AK125" s="61"/>
      <c r="AL125" s="61"/>
      <c r="AM125" s="61"/>
      <c r="AN125" s="61"/>
      <c r="AO125" s="61"/>
      <c r="AP125" s="61"/>
      <c r="AQ125" s="61"/>
      <c r="AR125" s="61"/>
      <c r="AS125" s="61"/>
    </row>
    <row r="126" spans="1:45" s="47" customFormat="1" ht="13.8" x14ac:dyDescent="0.3">
      <c r="A126" s="82" t="s">
        <v>101</v>
      </c>
      <c r="B126" s="144" t="str">
        <f>B24</f>
        <v>NGN</v>
      </c>
      <c r="C126" s="130">
        <f>SUM(C24:C125)</f>
        <v>0</v>
      </c>
      <c r="E126" s="499"/>
      <c r="F126" s="130"/>
      <c r="G126" s="130"/>
      <c r="H126" s="130"/>
      <c r="I126" s="130"/>
      <c r="J126" s="130"/>
      <c r="K126" s="130"/>
      <c r="L126" s="130">
        <f t="shared" ref="L126:AI126" si="29">SUM(L24:L125)</f>
        <v>0</v>
      </c>
      <c r="M126" s="130">
        <f t="shared" si="29"/>
        <v>0</v>
      </c>
      <c r="N126" s="130">
        <f t="shared" si="29"/>
        <v>0</v>
      </c>
      <c r="O126" s="130">
        <f t="shared" si="29"/>
        <v>0</v>
      </c>
      <c r="P126" s="130">
        <f t="shared" si="29"/>
        <v>0</v>
      </c>
      <c r="Q126" s="130">
        <f t="shared" si="29"/>
        <v>0</v>
      </c>
      <c r="R126" s="130">
        <f t="shared" si="29"/>
        <v>0</v>
      </c>
      <c r="S126" s="130">
        <f t="shared" si="29"/>
        <v>0</v>
      </c>
      <c r="T126" s="130">
        <f t="shared" si="29"/>
        <v>0</v>
      </c>
      <c r="U126" s="130">
        <f t="shared" si="29"/>
        <v>0</v>
      </c>
      <c r="V126" s="130">
        <f t="shared" si="29"/>
        <v>0</v>
      </c>
      <c r="W126" s="130">
        <f t="shared" si="29"/>
        <v>0</v>
      </c>
      <c r="X126" s="130">
        <f t="shared" si="29"/>
        <v>0</v>
      </c>
      <c r="Y126" s="130">
        <f t="shared" si="29"/>
        <v>0</v>
      </c>
      <c r="Z126" s="130">
        <f t="shared" si="29"/>
        <v>0</v>
      </c>
      <c r="AA126" s="130">
        <f t="shared" si="29"/>
        <v>0</v>
      </c>
      <c r="AB126" s="130">
        <f t="shared" si="29"/>
        <v>0</v>
      </c>
      <c r="AC126" s="130">
        <f t="shared" si="29"/>
        <v>0</v>
      </c>
      <c r="AD126" s="130">
        <f t="shared" si="29"/>
        <v>0</v>
      </c>
      <c r="AE126" s="130">
        <f t="shared" si="29"/>
        <v>0</v>
      </c>
      <c r="AF126" s="130">
        <f t="shared" si="29"/>
        <v>0</v>
      </c>
      <c r="AG126" s="130">
        <f t="shared" si="29"/>
        <v>0</v>
      </c>
      <c r="AH126" s="130">
        <f t="shared" si="29"/>
        <v>0</v>
      </c>
      <c r="AI126" s="130" t="e">
        <f t="shared" si="29"/>
        <v>#DIV/0!</v>
      </c>
      <c r="AJ126" s="61"/>
      <c r="AK126" s="61"/>
      <c r="AL126" s="61"/>
      <c r="AM126" s="61"/>
      <c r="AN126" s="61"/>
      <c r="AO126" s="61"/>
      <c r="AP126" s="61"/>
      <c r="AQ126" s="61"/>
      <c r="AR126" s="61"/>
      <c r="AS126" s="61"/>
    </row>
    <row r="127" spans="1:45" s="47" customFormat="1" ht="13.8" x14ac:dyDescent="0.3">
      <c r="A127" s="82" t="s">
        <v>479</v>
      </c>
      <c r="B127" s="144" t="str">
        <f>B24</f>
        <v>NGN</v>
      </c>
      <c r="C127" s="130">
        <f>H156+H157</f>
        <v>0</v>
      </c>
      <c r="E127" s="500">
        <f>C16</f>
        <v>25</v>
      </c>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f>SUM(C127,L127:AF127)</f>
        <v>0</v>
      </c>
      <c r="AH127" s="130">
        <f>IF(E127&gt;0,AG127/$C$16,"")</f>
        <v>0</v>
      </c>
      <c r="AI127" s="130" t="e">
        <f>IF(E127&gt;0,AG127/Calculations!$AB$10,"")</f>
        <v>#DIV/0!</v>
      </c>
      <c r="AJ127" s="61"/>
      <c r="AK127" s="61"/>
      <c r="AL127" s="61"/>
      <c r="AM127" s="61"/>
      <c r="AN127" s="61"/>
      <c r="AO127" s="61"/>
      <c r="AP127" s="61"/>
      <c r="AQ127" s="61"/>
      <c r="AR127" s="61"/>
      <c r="AS127" s="61"/>
    </row>
    <row r="128" spans="1:45" s="47" customFormat="1" ht="13.8" x14ac:dyDescent="0.3">
      <c r="A128" s="82" t="s">
        <v>109</v>
      </c>
      <c r="B128" s="144" t="str">
        <f>B24</f>
        <v>NGN</v>
      </c>
      <c r="C128" s="130">
        <f>C126-C127</f>
        <v>0</v>
      </c>
      <c r="E128" s="499"/>
      <c r="F128" s="130"/>
      <c r="G128" s="130"/>
      <c r="H128" s="130"/>
      <c r="I128" s="130"/>
      <c r="J128" s="130"/>
      <c r="K128" s="130"/>
      <c r="L128" s="130">
        <f t="shared" ref="L128:AI128" si="30">L126-L127</f>
        <v>0</v>
      </c>
      <c r="M128" s="130">
        <f t="shared" si="30"/>
        <v>0</v>
      </c>
      <c r="N128" s="130">
        <f t="shared" si="30"/>
        <v>0</v>
      </c>
      <c r="O128" s="130">
        <f t="shared" si="30"/>
        <v>0</v>
      </c>
      <c r="P128" s="130">
        <f t="shared" si="30"/>
        <v>0</v>
      </c>
      <c r="Q128" s="130">
        <f t="shared" si="30"/>
        <v>0</v>
      </c>
      <c r="R128" s="130">
        <f t="shared" si="30"/>
        <v>0</v>
      </c>
      <c r="S128" s="130">
        <f t="shared" si="30"/>
        <v>0</v>
      </c>
      <c r="T128" s="130">
        <f t="shared" si="30"/>
        <v>0</v>
      </c>
      <c r="U128" s="130">
        <f t="shared" si="30"/>
        <v>0</v>
      </c>
      <c r="V128" s="130">
        <f t="shared" si="30"/>
        <v>0</v>
      </c>
      <c r="W128" s="130">
        <f t="shared" si="30"/>
        <v>0</v>
      </c>
      <c r="X128" s="130">
        <f t="shared" si="30"/>
        <v>0</v>
      </c>
      <c r="Y128" s="130">
        <f t="shared" si="30"/>
        <v>0</v>
      </c>
      <c r="Z128" s="130">
        <f t="shared" si="30"/>
        <v>0</v>
      </c>
      <c r="AA128" s="130">
        <f t="shared" si="30"/>
        <v>0</v>
      </c>
      <c r="AB128" s="130">
        <f t="shared" si="30"/>
        <v>0</v>
      </c>
      <c r="AC128" s="130">
        <f t="shared" si="30"/>
        <v>0</v>
      </c>
      <c r="AD128" s="130">
        <f t="shared" si="30"/>
        <v>0</v>
      </c>
      <c r="AE128" s="130">
        <f t="shared" si="30"/>
        <v>0</v>
      </c>
      <c r="AF128" s="130">
        <f t="shared" si="30"/>
        <v>0</v>
      </c>
      <c r="AG128" s="130">
        <f t="shared" si="30"/>
        <v>0</v>
      </c>
      <c r="AH128" s="130">
        <f t="shared" si="30"/>
        <v>0</v>
      </c>
      <c r="AI128" s="130" t="e">
        <f t="shared" si="30"/>
        <v>#DIV/0!</v>
      </c>
      <c r="AJ128" s="61"/>
      <c r="AK128" s="61"/>
      <c r="AL128" s="61"/>
      <c r="AM128" s="61"/>
      <c r="AN128" s="61"/>
      <c r="AO128" s="61"/>
      <c r="AP128" s="61"/>
      <c r="AQ128" s="61"/>
      <c r="AR128" s="61"/>
      <c r="AS128" s="61"/>
    </row>
    <row r="129" spans="1:45" s="74" customFormat="1" ht="13.8" x14ac:dyDescent="0.3">
      <c r="B129" s="84"/>
      <c r="C129" s="75"/>
      <c r="D129" s="453"/>
      <c r="E129" s="76"/>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6"/>
      <c r="AH129" s="76"/>
      <c r="AI129" s="76"/>
      <c r="AJ129" s="75"/>
      <c r="AK129" s="75"/>
      <c r="AL129" s="75"/>
      <c r="AM129" s="75"/>
      <c r="AN129" s="75"/>
      <c r="AO129" s="75"/>
      <c r="AP129" s="75"/>
      <c r="AQ129" s="75"/>
      <c r="AR129" s="75"/>
      <c r="AS129" s="75"/>
    </row>
    <row r="130" spans="1:45" s="47" customFormat="1" ht="13.8" x14ac:dyDescent="0.3">
      <c r="B130" s="61"/>
      <c r="E130" s="85"/>
      <c r="AG130" s="85"/>
      <c r="AH130" s="60"/>
      <c r="AI130" s="85"/>
    </row>
    <row r="131" spans="1:45" x14ac:dyDescent="0.3">
      <c r="A131" s="86" t="s">
        <v>95</v>
      </c>
      <c r="B131" s="87"/>
      <c r="C131" s="86"/>
      <c r="E131" s="56"/>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6"/>
      <c r="AH131" s="56"/>
      <c r="AI131" s="56"/>
      <c r="AJ131" s="57"/>
      <c r="AK131" s="57"/>
      <c r="AL131" s="57"/>
      <c r="AM131" s="57"/>
      <c r="AN131" s="57"/>
      <c r="AO131" s="57"/>
      <c r="AP131" s="57"/>
      <c r="AQ131" s="57"/>
      <c r="AR131" s="57"/>
      <c r="AS131" s="57"/>
    </row>
    <row r="132" spans="1:45" s="65" customFormat="1" ht="13.8" x14ac:dyDescent="0.3">
      <c r="A132" s="64"/>
      <c r="B132" s="64" t="s">
        <v>47</v>
      </c>
      <c r="C132" s="64" t="s">
        <v>48</v>
      </c>
      <c r="E132" s="75"/>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row>
    <row r="133" spans="1:45" s="47" customFormat="1" ht="13.8" x14ac:dyDescent="0.3">
      <c r="A133" s="55" t="s">
        <v>113</v>
      </c>
      <c r="B133" s="5" t="s">
        <v>114</v>
      </c>
      <c r="C133" s="139">
        <v>0</v>
      </c>
      <c r="D133" s="88"/>
      <c r="E133" s="60"/>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0"/>
      <c r="AH133" s="60"/>
      <c r="AI133" s="60"/>
      <c r="AJ133" s="61"/>
      <c r="AK133" s="61"/>
      <c r="AL133" s="61"/>
      <c r="AM133" s="61"/>
      <c r="AN133" s="61"/>
      <c r="AO133" s="61"/>
      <c r="AP133" s="61"/>
      <c r="AQ133" s="61"/>
      <c r="AR133" s="61"/>
      <c r="AS133" s="61"/>
    </row>
    <row r="134" spans="1:45" s="47" customFormat="1" ht="13.8" x14ac:dyDescent="0.3">
      <c r="B134" s="61"/>
      <c r="C134" s="61"/>
      <c r="E134" s="89"/>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0"/>
      <c r="AH134" s="60"/>
      <c r="AI134" s="60"/>
      <c r="AJ134" s="61"/>
      <c r="AK134" s="61"/>
      <c r="AL134" s="61"/>
      <c r="AM134" s="61"/>
      <c r="AN134" s="61"/>
      <c r="AO134" s="61"/>
      <c r="AP134" s="61"/>
      <c r="AQ134" s="61"/>
      <c r="AR134" s="61"/>
      <c r="AS134" s="61"/>
    </row>
    <row r="135" spans="1:45" s="47" customFormat="1" ht="13.8" x14ac:dyDescent="0.3">
      <c r="B135" s="61"/>
      <c r="C135" s="61"/>
      <c r="E135" s="60"/>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0"/>
      <c r="AH135" s="60"/>
      <c r="AI135" s="60"/>
      <c r="AJ135" s="61"/>
      <c r="AK135" s="61"/>
      <c r="AL135" s="61"/>
      <c r="AM135" s="61"/>
      <c r="AN135" s="61"/>
      <c r="AO135" s="61"/>
      <c r="AP135" s="61"/>
      <c r="AQ135" s="61"/>
      <c r="AR135" s="61"/>
      <c r="AS135" s="61"/>
    </row>
    <row r="136" spans="1:45" s="49" customFormat="1" x14ac:dyDescent="0.3">
      <c r="A136" s="86" t="s">
        <v>389</v>
      </c>
      <c r="B136" s="87"/>
      <c r="C136" s="86"/>
      <c r="E136" s="51"/>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1"/>
      <c r="AH136" s="51"/>
      <c r="AI136" s="51"/>
      <c r="AJ136" s="50"/>
      <c r="AK136" s="50"/>
      <c r="AL136" s="50"/>
      <c r="AM136" s="50"/>
      <c r="AN136" s="50"/>
      <c r="AO136" s="50"/>
      <c r="AP136" s="50"/>
      <c r="AQ136" s="50"/>
      <c r="AR136" s="50"/>
      <c r="AS136" s="50"/>
    </row>
    <row r="137" spans="1:45" s="65" customFormat="1" ht="13.8" x14ac:dyDescent="0.3">
      <c r="A137" s="64"/>
      <c r="B137" s="64" t="s">
        <v>47</v>
      </c>
      <c r="C137" s="64" t="s">
        <v>48</v>
      </c>
      <c r="E137" s="75"/>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row>
    <row r="138" spans="1:45" s="47" customFormat="1" ht="13.8" x14ac:dyDescent="0.3">
      <c r="A138" s="55" t="s">
        <v>79</v>
      </c>
      <c r="B138" s="196" t="str">
        <f>B24</f>
        <v>NGN</v>
      </c>
      <c r="C138" s="4"/>
      <c r="E138" s="60"/>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0"/>
      <c r="AH138" s="60"/>
      <c r="AI138" s="60"/>
      <c r="AJ138" s="61"/>
      <c r="AK138" s="61"/>
      <c r="AL138" s="61"/>
      <c r="AM138" s="61"/>
      <c r="AN138" s="61"/>
      <c r="AO138" s="61"/>
      <c r="AP138" s="61"/>
      <c r="AQ138" s="61"/>
      <c r="AR138" s="61"/>
      <c r="AS138" s="61"/>
    </row>
    <row r="139" spans="1:45" s="47" customFormat="1" ht="13.8" x14ac:dyDescent="0.3">
      <c r="A139" s="55" t="s">
        <v>80</v>
      </c>
      <c r="B139" s="196" t="str">
        <f>B24</f>
        <v>NGN</v>
      </c>
      <c r="C139" s="4"/>
      <c r="E139" s="60"/>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0"/>
      <c r="AH139" s="60"/>
      <c r="AI139" s="60"/>
      <c r="AJ139" s="61"/>
      <c r="AK139" s="61"/>
      <c r="AL139" s="61"/>
      <c r="AM139" s="61"/>
      <c r="AN139" s="61"/>
      <c r="AO139" s="61"/>
      <c r="AP139" s="61"/>
      <c r="AQ139" s="61"/>
      <c r="AR139" s="61"/>
      <c r="AS139" s="61"/>
    </row>
    <row r="140" spans="1:45" s="47" customFormat="1" ht="13.8" x14ac:dyDescent="0.3">
      <c r="A140" s="55" t="s">
        <v>81</v>
      </c>
      <c r="B140" s="196" t="str">
        <f>B24</f>
        <v>NGN</v>
      </c>
      <c r="C140" s="4"/>
      <c r="E140" s="60"/>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0"/>
      <c r="AH140" s="60"/>
      <c r="AI140" s="60"/>
      <c r="AJ140" s="61"/>
      <c r="AK140" s="61"/>
      <c r="AL140" s="61"/>
      <c r="AM140" s="61"/>
      <c r="AN140" s="61"/>
      <c r="AO140" s="61"/>
      <c r="AP140" s="61"/>
      <c r="AQ140" s="61"/>
      <c r="AR140" s="61"/>
      <c r="AS140" s="61"/>
    </row>
    <row r="141" spans="1:45" s="47" customFormat="1" ht="13.8" x14ac:dyDescent="0.3">
      <c r="A141" s="55" t="s">
        <v>242</v>
      </c>
      <c r="B141" s="196" t="str">
        <f>B24</f>
        <v>NGN</v>
      </c>
      <c r="C141" s="4"/>
      <c r="E141" s="60"/>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0"/>
      <c r="AH141" s="60"/>
      <c r="AI141" s="60"/>
      <c r="AJ141" s="61"/>
      <c r="AK141" s="61"/>
      <c r="AL141" s="61"/>
      <c r="AM141" s="61"/>
      <c r="AN141" s="61"/>
      <c r="AO141" s="61"/>
      <c r="AP141" s="61"/>
      <c r="AQ141" s="61"/>
      <c r="AR141" s="61"/>
      <c r="AS141" s="61"/>
    </row>
    <row r="142" spans="1:45" s="47" customFormat="1" ht="13.8" x14ac:dyDescent="0.3">
      <c r="A142" s="55" t="s">
        <v>43</v>
      </c>
      <c r="B142" s="196" t="str">
        <f>B24</f>
        <v>NGN</v>
      </c>
      <c r="C142" s="4"/>
      <c r="E142" s="60"/>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0"/>
      <c r="AH142" s="60"/>
      <c r="AI142" s="60"/>
      <c r="AJ142" s="61"/>
      <c r="AK142" s="61"/>
      <c r="AL142" s="61"/>
      <c r="AM142" s="61"/>
      <c r="AN142" s="61"/>
      <c r="AO142" s="61"/>
      <c r="AP142" s="61"/>
      <c r="AQ142" s="61"/>
      <c r="AR142" s="61"/>
      <c r="AS142" s="61"/>
    </row>
    <row r="143" spans="1:45" s="47" customFormat="1" ht="13.8" x14ac:dyDescent="0.3">
      <c r="A143" s="55" t="s">
        <v>511</v>
      </c>
      <c r="B143" s="196" t="str">
        <f>B24</f>
        <v>NGN</v>
      </c>
      <c r="C143" s="4"/>
      <c r="E143" s="60"/>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0"/>
      <c r="AH143" s="60"/>
      <c r="AI143" s="60"/>
      <c r="AJ143" s="61"/>
      <c r="AK143" s="61"/>
      <c r="AL143" s="61"/>
      <c r="AM143" s="61"/>
      <c r="AN143" s="61"/>
      <c r="AO143" s="61"/>
      <c r="AP143" s="61"/>
      <c r="AQ143" s="61"/>
      <c r="AR143" s="61"/>
      <c r="AS143" s="61"/>
    </row>
    <row r="144" spans="1:45" s="47" customFormat="1" ht="13.8" x14ac:dyDescent="0.3">
      <c r="A144" s="55"/>
      <c r="B144" s="196" t="str">
        <f>B24</f>
        <v>NGN</v>
      </c>
      <c r="C144" s="4"/>
      <c r="E144" s="60"/>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0"/>
      <c r="AH144" s="60"/>
      <c r="AI144" s="60"/>
      <c r="AJ144" s="61"/>
      <c r="AK144" s="61"/>
      <c r="AL144" s="61"/>
      <c r="AM144" s="61"/>
      <c r="AN144" s="61"/>
      <c r="AO144" s="61"/>
      <c r="AP144" s="61"/>
      <c r="AQ144" s="61"/>
      <c r="AR144" s="61"/>
      <c r="AS144" s="61"/>
    </row>
    <row r="145" spans="1:45" s="47" customFormat="1" ht="13.8" x14ac:dyDescent="0.3">
      <c r="A145" s="82" t="s">
        <v>238</v>
      </c>
      <c r="B145" s="144" t="str">
        <f>B24</f>
        <v>NGN</v>
      </c>
      <c r="C145" s="130">
        <f>SUM(C138:C144)</f>
        <v>0</v>
      </c>
      <c r="E145" s="60"/>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0"/>
      <c r="AH145" s="60"/>
      <c r="AI145" s="60"/>
      <c r="AJ145" s="61"/>
      <c r="AK145" s="61"/>
      <c r="AL145" s="61"/>
      <c r="AM145" s="61"/>
      <c r="AN145" s="61"/>
      <c r="AO145" s="61"/>
      <c r="AP145" s="61"/>
      <c r="AQ145" s="61"/>
      <c r="AR145" s="61"/>
      <c r="AS145" s="61"/>
    </row>
    <row r="146" spans="1:45" s="47" customFormat="1" ht="13.8" x14ac:dyDescent="0.3">
      <c r="A146" s="74"/>
      <c r="B146" s="84"/>
      <c r="C146" s="61"/>
      <c r="E146" s="60"/>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0"/>
      <c r="AH146" s="60"/>
      <c r="AI146" s="60"/>
      <c r="AJ146" s="61"/>
      <c r="AK146" s="61"/>
      <c r="AL146" s="61"/>
      <c r="AM146" s="61"/>
      <c r="AN146" s="61"/>
      <c r="AO146" s="61"/>
      <c r="AP146" s="61"/>
      <c r="AQ146" s="61"/>
      <c r="AR146" s="61"/>
      <c r="AS146" s="61"/>
    </row>
    <row r="147" spans="1:45" s="47" customFormat="1" ht="13.8" x14ac:dyDescent="0.3">
      <c r="A147" s="55" t="s">
        <v>126</v>
      </c>
      <c r="B147" s="5" t="s">
        <v>83</v>
      </c>
      <c r="C147" s="6"/>
      <c r="E147" s="60"/>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0"/>
      <c r="AH147" s="60"/>
      <c r="AI147" s="60"/>
      <c r="AJ147" s="61"/>
      <c r="AK147" s="61"/>
      <c r="AL147" s="61"/>
      <c r="AM147" s="61"/>
      <c r="AN147" s="61"/>
      <c r="AO147" s="61"/>
      <c r="AP147" s="61"/>
      <c r="AQ147" s="61"/>
      <c r="AR147" s="61"/>
      <c r="AS147" s="61"/>
    </row>
    <row r="148" spans="1:45" s="47" customFormat="1" ht="13.8" x14ac:dyDescent="0.3">
      <c r="A148" s="74"/>
      <c r="B148" s="84"/>
      <c r="C148" s="61"/>
      <c r="E148" s="60"/>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0"/>
      <c r="AH148" s="60"/>
      <c r="AI148" s="60"/>
      <c r="AJ148" s="61"/>
      <c r="AK148" s="61"/>
      <c r="AL148" s="61"/>
      <c r="AM148" s="61"/>
      <c r="AN148" s="61"/>
      <c r="AO148" s="61"/>
      <c r="AP148" s="61"/>
      <c r="AQ148" s="61"/>
      <c r="AR148" s="61"/>
      <c r="AS148" s="61"/>
    </row>
    <row r="149" spans="1:45" s="49" customFormat="1" x14ac:dyDescent="0.3">
      <c r="A149" s="582" t="s">
        <v>240</v>
      </c>
      <c r="B149" s="583"/>
      <c r="C149" s="584"/>
      <c r="E149" s="44"/>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1"/>
      <c r="AH149" s="51"/>
      <c r="AI149" s="51"/>
      <c r="AJ149" s="50"/>
      <c r="AK149" s="50"/>
      <c r="AL149" s="50"/>
      <c r="AM149" s="50"/>
      <c r="AN149" s="50"/>
      <c r="AO149" s="50"/>
      <c r="AP149" s="50"/>
      <c r="AQ149" s="50"/>
      <c r="AR149" s="50"/>
      <c r="AS149" s="50"/>
    </row>
    <row r="150" spans="1:45" x14ac:dyDescent="0.3">
      <c r="A150" s="90"/>
      <c r="B150" s="91" t="s">
        <v>150</v>
      </c>
      <c r="C150" s="91">
        <v>1</v>
      </c>
      <c r="D150" s="91">
        <f>C150+1</f>
        <v>2</v>
      </c>
      <c r="E150" s="91">
        <f t="shared" ref="E150:G150" si="31">D150+1</f>
        <v>3</v>
      </c>
      <c r="F150" s="91">
        <f>E150+1</f>
        <v>4</v>
      </c>
      <c r="G150" s="91">
        <f t="shared" si="31"/>
        <v>5</v>
      </c>
    </row>
    <row r="151" spans="1:45" x14ac:dyDescent="0.3">
      <c r="A151" s="55" t="s">
        <v>243</v>
      </c>
      <c r="B151" s="189" t="s">
        <v>86</v>
      </c>
      <c r="C151" s="4"/>
      <c r="D151" s="4"/>
      <c r="E151" s="4"/>
      <c r="F151" s="4"/>
      <c r="G151" s="4"/>
      <c r="H151" s="61"/>
    </row>
    <row r="152" spans="1:45" x14ac:dyDescent="0.3">
      <c r="A152" s="55" t="s">
        <v>241</v>
      </c>
      <c r="B152" s="18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152" s="41"/>
      <c r="D152" s="41"/>
      <c r="E152" s="41"/>
      <c r="F152" s="41"/>
      <c r="G152" s="41"/>
      <c r="H152" s="61"/>
    </row>
    <row r="153" spans="1:45" s="47" customFormat="1" ht="13.8" x14ac:dyDescent="0.3">
      <c r="A153" s="74"/>
      <c r="B153" s="84"/>
      <c r="C153" s="61"/>
      <c r="E153" s="60"/>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0"/>
      <c r="AH153" s="60"/>
      <c r="AI153" s="60"/>
      <c r="AJ153" s="61"/>
      <c r="AK153" s="61"/>
      <c r="AL153" s="61"/>
      <c r="AM153" s="61"/>
      <c r="AN153" s="61"/>
      <c r="AO153" s="61"/>
      <c r="AP153" s="61"/>
      <c r="AQ153" s="61"/>
      <c r="AR153" s="61"/>
      <c r="AS153" s="61"/>
    </row>
    <row r="154" spans="1:45" s="95" customFormat="1" ht="13.8" x14ac:dyDescent="0.3">
      <c r="A154" s="93" t="s">
        <v>429</v>
      </c>
      <c r="B154" s="94"/>
      <c r="C154" s="93"/>
      <c r="E154" s="96"/>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6"/>
      <c r="AH154" s="96"/>
      <c r="AI154" s="96"/>
      <c r="AJ154" s="97"/>
      <c r="AK154" s="97"/>
      <c r="AL154" s="97"/>
      <c r="AM154" s="97"/>
      <c r="AN154" s="97"/>
      <c r="AO154" s="97"/>
      <c r="AP154" s="97"/>
      <c r="AQ154" s="97"/>
      <c r="AR154" s="97"/>
      <c r="AS154" s="97"/>
    </row>
    <row r="155" spans="1:45" s="65" customFormat="1" ht="13.8" x14ac:dyDescent="0.3">
      <c r="A155" s="64"/>
      <c r="B155" s="64" t="s">
        <v>47</v>
      </c>
      <c r="C155" s="64" t="s">
        <v>173</v>
      </c>
      <c r="D155" s="64" t="s">
        <v>174</v>
      </c>
      <c r="E155" s="64" t="s">
        <v>175</v>
      </c>
      <c r="F155" s="64" t="s">
        <v>176</v>
      </c>
      <c r="G155" s="64" t="s">
        <v>177</v>
      </c>
      <c r="H155" s="98" t="s">
        <v>75</v>
      </c>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row>
    <row r="156" spans="1:45" s="47" customFormat="1" ht="13.8" x14ac:dyDescent="0.3">
      <c r="A156" s="55" t="s">
        <v>480</v>
      </c>
      <c r="B156" s="196" t="str">
        <f>B24</f>
        <v>NGN</v>
      </c>
      <c r="C156" s="4"/>
      <c r="D156" s="4"/>
      <c r="E156" s="4"/>
      <c r="F156" s="4"/>
      <c r="G156" s="4"/>
      <c r="H156" s="130">
        <f>SUM(C156:G156)</f>
        <v>0</v>
      </c>
      <c r="I156" s="190"/>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0"/>
      <c r="AH156" s="60"/>
      <c r="AI156" s="60"/>
      <c r="AJ156" s="61"/>
      <c r="AK156" s="61"/>
      <c r="AL156" s="61"/>
      <c r="AM156" s="61"/>
      <c r="AN156" s="61"/>
      <c r="AO156" s="61"/>
      <c r="AP156" s="61"/>
      <c r="AQ156" s="61"/>
      <c r="AR156" s="61"/>
      <c r="AS156" s="61"/>
    </row>
    <row r="157" spans="1:45" s="47" customFormat="1" ht="13.8" x14ac:dyDescent="0.3">
      <c r="A157" s="55" t="s">
        <v>179</v>
      </c>
      <c r="B157" s="196" t="str">
        <f>B24</f>
        <v>NGN</v>
      </c>
      <c r="C157" s="4"/>
      <c r="D157" s="4"/>
      <c r="E157" s="4"/>
      <c r="F157" s="4"/>
      <c r="G157" s="4"/>
      <c r="H157" s="130">
        <f>SUM(C157:G157)</f>
        <v>0</v>
      </c>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0"/>
      <c r="AH157" s="60"/>
      <c r="AI157" s="60"/>
      <c r="AJ157" s="61"/>
      <c r="AK157" s="61"/>
      <c r="AL157" s="61"/>
      <c r="AM157" s="61"/>
      <c r="AN157" s="61"/>
      <c r="AO157" s="61"/>
      <c r="AP157" s="61"/>
      <c r="AQ157" s="61"/>
      <c r="AR157" s="61"/>
      <c r="AS157" s="61"/>
    </row>
    <row r="158" spans="1:45" s="47" customFormat="1" ht="13.8" x14ac:dyDescent="0.3">
      <c r="A158" s="55" t="s">
        <v>178</v>
      </c>
      <c r="B158" s="196" t="str">
        <f>B24</f>
        <v>NGN</v>
      </c>
      <c r="C158" s="4"/>
      <c r="D158" s="4"/>
      <c r="E158" s="4"/>
      <c r="F158" s="4"/>
      <c r="G158" s="4"/>
      <c r="H158" s="130">
        <f>SUM(C158:G158)</f>
        <v>0</v>
      </c>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0"/>
      <c r="AH158" s="60"/>
      <c r="AI158" s="60"/>
      <c r="AJ158" s="61"/>
      <c r="AK158" s="61"/>
      <c r="AL158" s="61"/>
      <c r="AM158" s="61"/>
      <c r="AN158" s="61"/>
      <c r="AO158" s="61"/>
      <c r="AP158" s="61"/>
      <c r="AQ158" s="61"/>
      <c r="AR158" s="61"/>
      <c r="AS158" s="61"/>
    </row>
    <row r="159" spans="1:45" s="47" customFormat="1" ht="13.8" x14ac:dyDescent="0.3">
      <c r="A159" s="74"/>
      <c r="B159" s="84"/>
      <c r="C159" s="61"/>
      <c r="E159" s="60"/>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0"/>
      <c r="AH159" s="60"/>
      <c r="AI159" s="60"/>
      <c r="AJ159" s="61"/>
      <c r="AK159" s="61"/>
      <c r="AL159" s="61"/>
      <c r="AM159" s="61"/>
      <c r="AN159" s="61"/>
      <c r="AO159" s="61"/>
      <c r="AP159" s="61"/>
      <c r="AQ159" s="61"/>
      <c r="AR159" s="61"/>
      <c r="AS159" s="61"/>
    </row>
    <row r="160" spans="1:45" s="95" customFormat="1" ht="13.8" x14ac:dyDescent="0.3">
      <c r="A160" s="93" t="s">
        <v>135</v>
      </c>
      <c r="B160" s="94"/>
      <c r="C160" s="93"/>
      <c r="D160" s="95" t="s">
        <v>477</v>
      </c>
      <c r="E160" s="96"/>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6"/>
      <c r="AH160" s="96"/>
      <c r="AI160" s="96"/>
      <c r="AJ160" s="97"/>
      <c r="AK160" s="97"/>
      <c r="AL160" s="97"/>
      <c r="AM160" s="97"/>
      <c r="AN160" s="97"/>
      <c r="AO160" s="97"/>
      <c r="AP160" s="97"/>
      <c r="AQ160" s="97"/>
      <c r="AR160" s="97"/>
      <c r="AS160" s="97"/>
    </row>
    <row r="161" spans="1:45" s="47" customFormat="1" ht="13.8" x14ac:dyDescent="0.3">
      <c r="A161" s="64"/>
      <c r="B161" s="64" t="s">
        <v>47</v>
      </c>
      <c r="C161" s="64" t="s">
        <v>48</v>
      </c>
      <c r="E161" s="60"/>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0"/>
      <c r="AH161" s="60"/>
      <c r="AI161" s="60"/>
      <c r="AJ161" s="61"/>
      <c r="AK161" s="61"/>
      <c r="AL161" s="61"/>
      <c r="AM161" s="61"/>
      <c r="AN161" s="61"/>
      <c r="AO161" s="61"/>
      <c r="AP161" s="61"/>
      <c r="AQ161" s="61"/>
      <c r="AR161" s="61"/>
      <c r="AS161" s="61"/>
    </row>
    <row r="162" spans="1:45" s="47" customFormat="1" ht="13.8" x14ac:dyDescent="0.3">
      <c r="A162" s="55" t="s">
        <v>422</v>
      </c>
      <c r="B162" s="196" t="str">
        <f>B24</f>
        <v>NGN</v>
      </c>
      <c r="C162" s="4"/>
      <c r="E162" s="60"/>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0"/>
      <c r="AH162" s="60"/>
      <c r="AI162" s="60"/>
      <c r="AJ162" s="61"/>
      <c r="AK162" s="61"/>
      <c r="AL162" s="61"/>
      <c r="AM162" s="61"/>
      <c r="AN162" s="61"/>
      <c r="AO162" s="61"/>
      <c r="AP162" s="61"/>
      <c r="AQ162" s="61"/>
      <c r="AR162" s="61"/>
      <c r="AS162" s="61"/>
    </row>
    <row r="163" spans="1:45" s="47" customFormat="1" ht="13.8" x14ac:dyDescent="0.3">
      <c r="A163" s="55" t="s">
        <v>121</v>
      </c>
      <c r="B163" s="196" t="str">
        <f>B24</f>
        <v>NGN</v>
      </c>
      <c r="C163" s="4"/>
      <c r="E163" s="60"/>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0"/>
      <c r="AH163" s="60"/>
      <c r="AI163" s="60"/>
      <c r="AJ163" s="61"/>
      <c r="AK163" s="61"/>
      <c r="AL163" s="61"/>
      <c r="AM163" s="61"/>
      <c r="AN163" s="61"/>
      <c r="AO163" s="61"/>
      <c r="AP163" s="61"/>
      <c r="AQ163" s="61"/>
      <c r="AR163" s="61"/>
      <c r="AS163" s="61"/>
    </row>
    <row r="164" spans="1:45" s="47" customFormat="1" ht="13.8" x14ac:dyDescent="0.3">
      <c r="B164" s="99"/>
      <c r="C164" s="61"/>
      <c r="E164" s="60"/>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0"/>
      <c r="AH164" s="60"/>
      <c r="AI164" s="60"/>
      <c r="AJ164" s="61"/>
      <c r="AK164" s="61"/>
      <c r="AL164" s="61"/>
      <c r="AM164" s="61"/>
      <c r="AN164" s="61"/>
      <c r="AO164" s="61"/>
      <c r="AP164" s="61"/>
      <c r="AQ164" s="61"/>
      <c r="AR164" s="61"/>
      <c r="AS164" s="61"/>
    </row>
    <row r="165" spans="1:45" s="47" customFormat="1" ht="13.8" x14ac:dyDescent="0.3">
      <c r="B165" s="61"/>
      <c r="C165" s="61"/>
      <c r="E165" s="60"/>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0"/>
      <c r="AH165" s="60"/>
      <c r="AI165" s="60"/>
      <c r="AJ165" s="61"/>
      <c r="AK165" s="61"/>
      <c r="AL165" s="61"/>
      <c r="AM165" s="61"/>
      <c r="AN165" s="61"/>
      <c r="AO165" s="61"/>
      <c r="AP165" s="61"/>
      <c r="AQ165" s="61"/>
      <c r="AR165" s="61"/>
      <c r="AS165" s="61"/>
    </row>
    <row r="166" spans="1:45" s="95" customFormat="1" ht="13.8" x14ac:dyDescent="0.3">
      <c r="A166" s="93" t="s">
        <v>136</v>
      </c>
      <c r="B166" s="94"/>
      <c r="C166" s="93"/>
      <c r="E166" s="96"/>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6"/>
      <c r="AH166" s="96"/>
      <c r="AI166" s="96"/>
      <c r="AJ166" s="97"/>
      <c r="AK166" s="97"/>
      <c r="AL166" s="97"/>
      <c r="AM166" s="97"/>
      <c r="AN166" s="97"/>
      <c r="AO166" s="97"/>
      <c r="AP166" s="97"/>
      <c r="AQ166" s="97"/>
      <c r="AR166" s="97"/>
      <c r="AS166" s="97"/>
    </row>
    <row r="167" spans="1:45" s="47" customFormat="1" ht="13.8" x14ac:dyDescent="0.3">
      <c r="A167" s="582" t="s">
        <v>391</v>
      </c>
      <c r="B167" s="583"/>
      <c r="C167" s="583"/>
      <c r="E167" s="89"/>
      <c r="F167" s="461" t="s">
        <v>210</v>
      </c>
      <c r="G167" s="394"/>
      <c r="H167" s="394"/>
      <c r="I167" s="394"/>
      <c r="J167" s="394"/>
      <c r="K167" s="462"/>
      <c r="L167" s="461"/>
      <c r="M167" s="61"/>
      <c r="N167" s="61"/>
      <c r="O167" s="61"/>
      <c r="P167" s="61"/>
      <c r="Q167" s="61"/>
      <c r="R167" s="61"/>
      <c r="S167" s="61"/>
      <c r="T167" s="61"/>
      <c r="U167" s="61"/>
      <c r="V167" s="61"/>
      <c r="W167" s="61"/>
      <c r="X167" s="61"/>
      <c r="Y167" s="61"/>
      <c r="Z167" s="61"/>
      <c r="AA167" s="61"/>
      <c r="AB167" s="61"/>
      <c r="AC167" s="61"/>
      <c r="AD167" s="61"/>
      <c r="AE167" s="61"/>
      <c r="AF167" s="61"/>
      <c r="AG167" s="60"/>
      <c r="AH167" s="60"/>
      <c r="AI167" s="60"/>
      <c r="AJ167" s="61"/>
      <c r="AK167" s="61"/>
      <c r="AL167" s="61"/>
      <c r="AM167" s="61"/>
      <c r="AN167" s="61"/>
      <c r="AO167" s="61"/>
      <c r="AP167" s="61"/>
      <c r="AQ167" s="61"/>
      <c r="AR167" s="61"/>
      <c r="AS167" s="61"/>
    </row>
    <row r="168" spans="1:45" s="65" customFormat="1" ht="13.8" x14ac:dyDescent="0.3">
      <c r="A168" s="64"/>
      <c r="B168" s="64" t="s">
        <v>47</v>
      </c>
      <c r="C168" s="64" t="s">
        <v>48</v>
      </c>
      <c r="D168" s="64" t="s">
        <v>83</v>
      </c>
      <c r="E168" s="75"/>
      <c r="F168" s="101"/>
      <c r="G168" s="101"/>
      <c r="H168" s="102" t="s">
        <v>208</v>
      </c>
      <c r="I168" s="102" t="s">
        <v>99</v>
      </c>
      <c r="J168" s="102" t="s">
        <v>100</v>
      </c>
      <c r="K168" s="102" t="s">
        <v>75</v>
      </c>
      <c r="L168" s="102" t="s">
        <v>209</v>
      </c>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row>
    <row r="169" spans="1:45" s="47" customFormat="1" ht="13.8" x14ac:dyDescent="0.3">
      <c r="A169" s="55" t="s">
        <v>98</v>
      </c>
      <c r="B169" s="196" t="str">
        <f>B24</f>
        <v>NGN</v>
      </c>
      <c r="C169" s="130">
        <f>IF($C$126&gt;0,$C$126*D169,0)</f>
        <v>0</v>
      </c>
      <c r="D169" s="6"/>
      <c r="E169" s="60"/>
      <c r="F169" s="100" t="s">
        <v>206</v>
      </c>
      <c r="G169" s="103" t="str">
        <f>B24</f>
        <v>NGN</v>
      </c>
      <c r="H169" s="100"/>
      <c r="I169" s="100"/>
      <c r="J169" s="100"/>
      <c r="K169" s="100">
        <f>SUM(H169:J169)</f>
        <v>0</v>
      </c>
      <c r="L169" s="104" t="str">
        <f>IF(K172&gt;0,K169/K172,"")</f>
        <v/>
      </c>
      <c r="M169" s="61"/>
      <c r="N169" s="61"/>
      <c r="O169" s="61"/>
      <c r="P169" s="61"/>
      <c r="Q169" s="61"/>
      <c r="R169" s="61"/>
      <c r="S169" s="61"/>
      <c r="T169" s="61"/>
      <c r="U169" s="61"/>
      <c r="V169" s="61"/>
      <c r="W169" s="61"/>
      <c r="X169" s="61"/>
      <c r="Y169" s="61"/>
      <c r="Z169" s="61"/>
      <c r="AA169" s="61"/>
      <c r="AB169" s="61"/>
      <c r="AC169" s="61"/>
      <c r="AD169" s="61"/>
      <c r="AE169" s="61"/>
      <c r="AF169" s="61"/>
      <c r="AG169" s="60"/>
      <c r="AH169" s="60"/>
      <c r="AI169" s="60"/>
      <c r="AJ169" s="61"/>
      <c r="AK169" s="61"/>
      <c r="AL169" s="61"/>
      <c r="AM169" s="61"/>
      <c r="AN169" s="61"/>
      <c r="AO169" s="61"/>
      <c r="AP169" s="61"/>
      <c r="AQ169" s="61"/>
      <c r="AR169" s="61"/>
      <c r="AS169" s="61"/>
    </row>
    <row r="170" spans="1:45" s="47" customFormat="1" ht="13.8" x14ac:dyDescent="0.3">
      <c r="A170" s="55" t="s">
        <v>99</v>
      </c>
      <c r="B170" s="196" t="str">
        <f>B24</f>
        <v>NGN</v>
      </c>
      <c r="C170" s="130">
        <f>IF($C$126&gt;0,$C$126*D170,0)</f>
        <v>0</v>
      </c>
      <c r="D170" s="193" t="e">
        <f>100%-D171-D169</f>
        <v>#DIV/0!</v>
      </c>
      <c r="E170" s="60"/>
      <c r="F170" s="100" t="s">
        <v>207</v>
      </c>
      <c r="G170" s="103" t="str">
        <f>B24</f>
        <v>NGN</v>
      </c>
      <c r="H170" s="100"/>
      <c r="I170" s="100"/>
      <c r="J170" s="100"/>
      <c r="K170" s="100">
        <f t="shared" ref="K170:K171" si="32">SUM(H170:J170)</f>
        <v>0</v>
      </c>
      <c r="L170" s="104" t="str">
        <f>IF(K173&gt;0,K170/K173,"")</f>
        <v/>
      </c>
      <c r="M170" s="61"/>
      <c r="N170" s="61"/>
      <c r="O170" s="61"/>
      <c r="P170" s="61"/>
      <c r="Q170" s="61"/>
      <c r="R170" s="61"/>
      <c r="S170" s="61"/>
      <c r="T170" s="61"/>
      <c r="U170" s="61"/>
      <c r="V170" s="61"/>
      <c r="W170" s="61"/>
      <c r="X170" s="61"/>
      <c r="Y170" s="61"/>
      <c r="Z170" s="61"/>
      <c r="AA170" s="61"/>
      <c r="AB170" s="61"/>
      <c r="AC170" s="61"/>
      <c r="AD170" s="61"/>
      <c r="AE170" s="61"/>
      <c r="AF170" s="61"/>
      <c r="AG170" s="60"/>
      <c r="AH170" s="60"/>
      <c r="AI170" s="60"/>
      <c r="AJ170" s="61"/>
      <c r="AK170" s="61"/>
      <c r="AL170" s="61"/>
      <c r="AM170" s="61"/>
      <c r="AN170" s="61"/>
      <c r="AO170" s="61"/>
      <c r="AP170" s="61"/>
      <c r="AQ170" s="61"/>
      <c r="AR170" s="61"/>
      <c r="AS170" s="61"/>
    </row>
    <row r="171" spans="1:45" s="47" customFormat="1" ht="13.8" x14ac:dyDescent="0.3">
      <c r="A171" s="55" t="s">
        <v>481</v>
      </c>
      <c r="B171" s="196" t="str">
        <f>B24</f>
        <v>NGN</v>
      </c>
      <c r="C171" s="130" t="b">
        <f>IF($C$126&gt;0,IF(C126*D171=(H156+H157),C126*D171,"Error"))</f>
        <v>0</v>
      </c>
      <c r="D171" s="193" t="e">
        <f>C127/C126</f>
        <v>#DIV/0!</v>
      </c>
      <c r="E171" s="60"/>
      <c r="F171" s="100" t="s">
        <v>211</v>
      </c>
      <c r="G171" s="103" t="str">
        <f>B24</f>
        <v>NGN</v>
      </c>
      <c r="H171" s="100"/>
      <c r="I171" s="100"/>
      <c r="J171" s="100"/>
      <c r="K171" s="100">
        <f t="shared" si="32"/>
        <v>0</v>
      </c>
      <c r="L171" s="104" t="str">
        <f>IF(K174&gt;0,K171/K174,"")</f>
        <v/>
      </c>
      <c r="M171" s="61"/>
      <c r="N171" s="61"/>
      <c r="O171" s="61"/>
      <c r="P171" s="61"/>
      <c r="Q171" s="61"/>
      <c r="R171" s="61"/>
      <c r="S171" s="61"/>
      <c r="T171" s="61"/>
      <c r="U171" s="61"/>
      <c r="V171" s="61"/>
      <c r="W171" s="61"/>
      <c r="X171" s="61"/>
      <c r="Y171" s="61"/>
      <c r="Z171" s="61"/>
      <c r="AA171" s="61"/>
      <c r="AB171" s="61"/>
      <c r="AC171" s="61"/>
      <c r="AD171" s="61"/>
      <c r="AE171" s="61"/>
      <c r="AF171" s="61"/>
      <c r="AG171" s="60"/>
      <c r="AH171" s="60"/>
      <c r="AI171" s="60"/>
      <c r="AJ171" s="61"/>
      <c r="AK171" s="61"/>
      <c r="AL171" s="61"/>
      <c r="AM171" s="61"/>
      <c r="AN171" s="61"/>
      <c r="AO171" s="61"/>
      <c r="AP171" s="61"/>
      <c r="AQ171" s="61"/>
      <c r="AR171" s="61"/>
      <c r="AS171" s="61"/>
    </row>
    <row r="172" spans="1:45" s="47" customFormat="1" thickBot="1" x14ac:dyDescent="0.35">
      <c r="A172" s="105" t="s">
        <v>201</v>
      </c>
      <c r="B172" s="205" t="str">
        <f>B31</f>
        <v>NGN</v>
      </c>
      <c r="C172" s="134">
        <f>IF(SUM(C169:C171)=C126,SUM(C169:C171),"Error")</f>
        <v>0</v>
      </c>
      <c r="D172" s="133" t="e">
        <f>IF(SUM(D169:D171)=100%,SUM(D169:D171),"Error")</f>
        <v>#DIV/0!</v>
      </c>
      <c r="E172" s="60"/>
      <c r="F172" s="463" t="s">
        <v>75</v>
      </c>
      <c r="G172" s="464" t="str">
        <f>B24</f>
        <v>NGN</v>
      </c>
      <c r="H172" s="465">
        <f>SUM(H169:H171)</f>
        <v>0</v>
      </c>
      <c r="I172" s="465">
        <f t="shared" ref="I172:K172" si="33">SUM(I169:I171)</f>
        <v>0</v>
      </c>
      <c r="J172" s="465">
        <f t="shared" si="33"/>
        <v>0</v>
      </c>
      <c r="K172" s="465">
        <f t="shared" si="33"/>
        <v>0</v>
      </c>
      <c r="L172" s="466">
        <f>SUM(L169:L171)</f>
        <v>0</v>
      </c>
      <c r="M172" s="61"/>
      <c r="N172" s="61"/>
      <c r="O172" s="61"/>
      <c r="P172" s="61"/>
      <c r="Q172" s="61"/>
      <c r="R172" s="61"/>
      <c r="S172" s="61"/>
      <c r="T172" s="61"/>
      <c r="U172" s="61"/>
      <c r="V172" s="61"/>
      <c r="W172" s="61"/>
      <c r="X172" s="61"/>
      <c r="Y172" s="61"/>
      <c r="Z172" s="61"/>
      <c r="AA172" s="61"/>
      <c r="AB172" s="61"/>
      <c r="AC172" s="61"/>
      <c r="AD172" s="61"/>
      <c r="AE172" s="61"/>
      <c r="AF172" s="61"/>
      <c r="AG172" s="60"/>
      <c r="AH172" s="60"/>
      <c r="AI172" s="60"/>
      <c r="AJ172" s="61"/>
      <c r="AK172" s="61"/>
      <c r="AL172" s="61"/>
      <c r="AM172" s="61"/>
      <c r="AN172" s="61"/>
      <c r="AO172" s="61"/>
      <c r="AP172" s="61"/>
      <c r="AQ172" s="61"/>
      <c r="AR172" s="61"/>
      <c r="AS172" s="61"/>
    </row>
    <row r="173" spans="1:45" s="47" customFormat="1" ht="15" thickTop="1" thickBot="1" x14ac:dyDescent="0.35">
      <c r="A173" s="194" t="s">
        <v>484</v>
      </c>
      <c r="B173" s="206" t="str">
        <f>B28</f>
        <v>NGN</v>
      </c>
      <c r="C173" s="210">
        <f>C169</f>
        <v>0</v>
      </c>
      <c r="D173" s="211" t="str">
        <f>IF(C172&gt;0,C173/C172,"")</f>
        <v/>
      </c>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0"/>
      <c r="AH173" s="60"/>
      <c r="AI173" s="60"/>
      <c r="AJ173" s="61"/>
      <c r="AK173" s="61"/>
      <c r="AL173" s="61"/>
      <c r="AM173" s="61"/>
      <c r="AN173" s="61"/>
      <c r="AO173" s="61"/>
      <c r="AP173" s="61"/>
      <c r="AQ173" s="61"/>
      <c r="AR173" s="61"/>
      <c r="AS173" s="61"/>
    </row>
    <row r="174" spans="1:45" s="47" customFormat="1" thickTop="1" x14ac:dyDescent="0.3">
      <c r="A174" s="106"/>
      <c r="B174" s="61"/>
      <c r="C174" s="61"/>
      <c r="E174" s="60"/>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0"/>
      <c r="AH174" s="60"/>
      <c r="AI174" s="60"/>
      <c r="AJ174" s="61"/>
      <c r="AK174" s="61"/>
      <c r="AL174" s="61"/>
      <c r="AM174" s="61"/>
      <c r="AN174" s="61"/>
      <c r="AO174" s="61"/>
      <c r="AP174" s="61"/>
      <c r="AQ174" s="61"/>
      <c r="AR174" s="61"/>
      <c r="AS174" s="61"/>
    </row>
    <row r="175" spans="1:45" s="47" customFormat="1" ht="13.8" x14ac:dyDescent="0.3">
      <c r="A175" s="582" t="s">
        <v>396</v>
      </c>
      <c r="B175" s="583"/>
      <c r="C175" s="583"/>
      <c r="E175" s="89"/>
      <c r="F175" s="75"/>
      <c r="G175" s="75"/>
      <c r="H175" s="75"/>
      <c r="I175" s="75"/>
      <c r="J175" s="75"/>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0"/>
      <c r="AH175" s="60"/>
      <c r="AI175" s="60"/>
      <c r="AJ175" s="61"/>
      <c r="AK175" s="61"/>
      <c r="AL175" s="61"/>
      <c r="AM175" s="61"/>
      <c r="AN175" s="61"/>
      <c r="AO175" s="61"/>
      <c r="AP175" s="61"/>
      <c r="AQ175" s="61"/>
      <c r="AR175" s="61"/>
      <c r="AS175" s="61"/>
    </row>
    <row r="176" spans="1:45" s="65" customFormat="1" ht="13.8" x14ac:dyDescent="0.3">
      <c r="A176" s="64"/>
      <c r="B176" s="64" t="s">
        <v>47</v>
      </c>
      <c r="C176" s="64" t="s">
        <v>48</v>
      </c>
      <c r="E176" s="75"/>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row>
    <row r="177" spans="1:45" s="47" customFormat="1" ht="13.8" x14ac:dyDescent="0.3">
      <c r="A177" s="55" t="s">
        <v>117</v>
      </c>
      <c r="B177" s="5" t="s">
        <v>87</v>
      </c>
      <c r="C177" s="4"/>
      <c r="E177" s="60"/>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0"/>
      <c r="AH177" s="60"/>
      <c r="AI177" s="60"/>
      <c r="AJ177" s="61"/>
      <c r="AK177" s="61"/>
      <c r="AL177" s="61"/>
      <c r="AM177" s="61"/>
      <c r="AN177" s="61"/>
      <c r="AO177" s="61"/>
      <c r="AP177" s="61"/>
      <c r="AQ177" s="61"/>
      <c r="AR177" s="61"/>
      <c r="AS177" s="61"/>
    </row>
    <row r="178" spans="1:45" s="47" customFormat="1" ht="13.8" x14ac:dyDescent="0.3">
      <c r="A178" s="55" t="s">
        <v>116</v>
      </c>
      <c r="B178" s="5" t="s">
        <v>83</v>
      </c>
      <c r="C178" s="42"/>
      <c r="E178" s="60"/>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0"/>
      <c r="AH178" s="60"/>
      <c r="AI178" s="60"/>
      <c r="AJ178" s="61"/>
      <c r="AK178" s="61"/>
      <c r="AL178" s="61"/>
      <c r="AM178" s="61"/>
      <c r="AN178" s="61"/>
      <c r="AO178" s="61"/>
      <c r="AP178" s="61"/>
      <c r="AQ178" s="61"/>
      <c r="AR178" s="61"/>
      <c r="AS178" s="61"/>
    </row>
    <row r="179" spans="1:45" s="47" customFormat="1" ht="13.8" x14ac:dyDescent="0.3">
      <c r="A179" s="55" t="s">
        <v>125</v>
      </c>
      <c r="B179" s="5" t="s">
        <v>83</v>
      </c>
      <c r="C179" s="42"/>
      <c r="E179" s="60"/>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0"/>
      <c r="AH179" s="60"/>
      <c r="AI179" s="60"/>
      <c r="AJ179" s="61"/>
      <c r="AK179" s="61"/>
      <c r="AL179" s="61"/>
      <c r="AM179" s="61"/>
      <c r="AN179" s="61"/>
      <c r="AO179" s="61"/>
      <c r="AP179" s="61"/>
      <c r="AQ179" s="61"/>
      <c r="AR179" s="61"/>
      <c r="AS179" s="61"/>
    </row>
    <row r="180" spans="1:45" s="47" customFormat="1" ht="13.8" x14ac:dyDescent="0.3">
      <c r="A180" s="106"/>
      <c r="B180" s="61"/>
      <c r="C180" s="61"/>
      <c r="E180" s="60"/>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0"/>
      <c r="AH180" s="60"/>
      <c r="AI180" s="60"/>
      <c r="AJ180" s="61"/>
      <c r="AK180" s="61"/>
      <c r="AL180" s="61"/>
      <c r="AM180" s="61"/>
      <c r="AN180" s="61"/>
      <c r="AO180" s="61"/>
      <c r="AP180" s="61"/>
      <c r="AQ180" s="61"/>
      <c r="AR180" s="61"/>
      <c r="AS180" s="61"/>
    </row>
    <row r="181" spans="1:45" s="47" customFormat="1" ht="13.8" x14ac:dyDescent="0.3">
      <c r="A181" s="582" t="s">
        <v>392</v>
      </c>
      <c r="B181" s="583"/>
      <c r="C181" s="583"/>
      <c r="E181" s="89"/>
      <c r="M181" s="61"/>
      <c r="N181" s="61"/>
      <c r="O181" s="61"/>
      <c r="P181" s="61"/>
      <c r="Q181" s="61"/>
      <c r="R181" s="61"/>
      <c r="S181" s="61"/>
      <c r="T181" s="61"/>
      <c r="U181" s="61"/>
      <c r="V181" s="61"/>
      <c r="W181" s="61"/>
      <c r="X181" s="61"/>
      <c r="Y181" s="61"/>
      <c r="Z181" s="61"/>
      <c r="AA181" s="61"/>
      <c r="AB181" s="61"/>
      <c r="AC181" s="61"/>
      <c r="AD181" s="61"/>
      <c r="AE181" s="61"/>
      <c r="AF181" s="61"/>
      <c r="AG181" s="60"/>
      <c r="AH181" s="60"/>
      <c r="AI181" s="60"/>
      <c r="AJ181" s="61"/>
      <c r="AK181" s="61"/>
      <c r="AL181" s="61"/>
      <c r="AM181" s="61"/>
      <c r="AN181" s="61"/>
      <c r="AO181" s="61"/>
      <c r="AP181" s="61"/>
      <c r="AQ181" s="61"/>
      <c r="AR181" s="61"/>
      <c r="AS181" s="61"/>
    </row>
    <row r="182" spans="1:45" s="65" customFormat="1" ht="13.8" x14ac:dyDescent="0.3">
      <c r="A182" s="64"/>
      <c r="B182" s="64" t="s">
        <v>47</v>
      </c>
      <c r="C182" s="64" t="s">
        <v>104</v>
      </c>
      <c r="D182" s="64" t="s">
        <v>105</v>
      </c>
      <c r="F182" s="461" t="s">
        <v>210</v>
      </c>
      <c r="G182" s="394"/>
      <c r="H182" s="394"/>
      <c r="I182" s="394"/>
      <c r="J182" s="394"/>
      <c r="K182" s="462"/>
      <c r="L182" s="47"/>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row>
    <row r="183" spans="1:45" s="47" customFormat="1" thickBot="1" x14ac:dyDescent="0.35">
      <c r="A183" s="79" t="s">
        <v>102</v>
      </c>
      <c r="B183" s="80" t="s">
        <v>83</v>
      </c>
      <c r="C183" s="135">
        <f>C179</f>
        <v>0</v>
      </c>
      <c r="D183" s="136">
        <f>C183*(1-C213)</f>
        <v>0</v>
      </c>
      <c r="E183" s="85"/>
      <c r="F183" s="470"/>
      <c r="G183" s="471" t="s">
        <v>122</v>
      </c>
      <c r="H183" s="472"/>
      <c r="I183" s="473"/>
      <c r="J183" s="474"/>
      <c r="K183" s="475" t="s">
        <v>219</v>
      </c>
      <c r="M183" s="61"/>
      <c r="N183" s="61"/>
      <c r="O183" s="61"/>
      <c r="P183" s="61"/>
      <c r="Q183" s="61"/>
      <c r="R183" s="61"/>
      <c r="S183" s="61"/>
      <c r="T183" s="61"/>
      <c r="U183" s="61"/>
      <c r="V183" s="61"/>
      <c r="W183" s="61"/>
      <c r="X183" s="61"/>
      <c r="Y183" s="61"/>
      <c r="Z183" s="61"/>
      <c r="AA183" s="61"/>
      <c r="AB183" s="61"/>
      <c r="AC183" s="61"/>
      <c r="AD183" s="61"/>
      <c r="AE183" s="61"/>
      <c r="AF183" s="61"/>
      <c r="AG183" s="60"/>
      <c r="AH183" s="60"/>
      <c r="AI183" s="60"/>
      <c r="AJ183" s="61"/>
      <c r="AK183" s="61"/>
      <c r="AL183" s="61"/>
      <c r="AM183" s="61"/>
      <c r="AN183" s="61"/>
      <c r="AO183" s="61"/>
      <c r="AP183" s="61"/>
      <c r="AQ183" s="61"/>
      <c r="AR183" s="61"/>
      <c r="AS183" s="61"/>
    </row>
    <row r="184" spans="1:45" s="47" customFormat="1" thickTop="1" x14ac:dyDescent="0.3">
      <c r="A184" s="55" t="s">
        <v>103</v>
      </c>
      <c r="B184" s="5" t="s">
        <v>83</v>
      </c>
      <c r="C184" s="42"/>
      <c r="D184" s="136">
        <f>C184*(1-C213)</f>
        <v>0</v>
      </c>
      <c r="E184" s="85"/>
      <c r="F184" s="476"/>
      <c r="G184" s="477" t="s">
        <v>220</v>
      </c>
      <c r="H184" s="478" t="s">
        <v>221</v>
      </c>
      <c r="I184" s="479" t="s">
        <v>104</v>
      </c>
      <c r="J184" s="480" t="s">
        <v>222</v>
      </c>
      <c r="K184" s="481" t="s">
        <v>223</v>
      </c>
      <c r="M184" s="61"/>
      <c r="N184" s="61"/>
      <c r="O184" s="61"/>
      <c r="P184" s="61"/>
      <c r="Q184" s="61"/>
      <c r="R184" s="61"/>
      <c r="S184" s="61"/>
      <c r="T184" s="61"/>
      <c r="U184" s="61"/>
      <c r="V184" s="61"/>
      <c r="W184" s="61"/>
      <c r="X184" s="61"/>
      <c r="Y184" s="61"/>
      <c r="Z184" s="61"/>
      <c r="AA184" s="61"/>
      <c r="AB184" s="61"/>
      <c r="AC184" s="61"/>
      <c r="AD184" s="61"/>
      <c r="AE184" s="61"/>
      <c r="AF184" s="61"/>
      <c r="AG184" s="60"/>
      <c r="AH184" s="60"/>
      <c r="AI184" s="60"/>
      <c r="AJ184" s="61"/>
      <c r="AK184" s="61"/>
      <c r="AL184" s="61"/>
      <c r="AM184" s="61"/>
      <c r="AN184" s="61"/>
      <c r="AO184" s="61"/>
      <c r="AP184" s="61"/>
      <c r="AQ184" s="61"/>
      <c r="AR184" s="61"/>
      <c r="AS184" s="61"/>
    </row>
    <row r="185" spans="1:45" s="47" customFormat="1" thickBot="1" x14ac:dyDescent="0.35">
      <c r="A185" s="55" t="s">
        <v>108</v>
      </c>
      <c r="B185" s="92" t="s">
        <v>83</v>
      </c>
      <c r="C185" s="136">
        <f>IF(D169=0,0%,C169/(C172-C171))</f>
        <v>0</v>
      </c>
      <c r="D185" s="136">
        <f>C185</f>
        <v>0</v>
      </c>
      <c r="E185" s="85"/>
      <c r="F185" s="482" t="s">
        <v>98</v>
      </c>
      <c r="G185" s="483">
        <f>H185*C128</f>
        <v>0</v>
      </c>
      <c r="H185" s="135">
        <f>C185</f>
        <v>0</v>
      </c>
      <c r="I185" s="136">
        <f>C179</f>
        <v>0</v>
      </c>
      <c r="J185" s="135">
        <f>C213</f>
        <v>0</v>
      </c>
      <c r="K185" s="136">
        <f>I185*(1-J185)*H185</f>
        <v>0</v>
      </c>
      <c r="M185" s="61"/>
      <c r="N185" s="61"/>
      <c r="O185" s="61"/>
      <c r="P185" s="61"/>
      <c r="Q185" s="61"/>
      <c r="R185" s="61"/>
      <c r="S185" s="61"/>
      <c r="T185" s="61"/>
      <c r="U185" s="61"/>
      <c r="V185" s="61"/>
      <c r="W185" s="61"/>
      <c r="X185" s="61"/>
      <c r="Y185" s="61"/>
      <c r="Z185" s="61"/>
      <c r="AA185" s="61"/>
      <c r="AB185" s="61"/>
      <c r="AC185" s="61"/>
      <c r="AD185" s="61"/>
      <c r="AE185" s="61"/>
      <c r="AF185" s="61"/>
      <c r="AG185" s="60"/>
      <c r="AH185" s="60"/>
      <c r="AI185" s="60"/>
      <c r="AJ185" s="61"/>
      <c r="AK185" s="61"/>
      <c r="AL185" s="61"/>
      <c r="AM185" s="61"/>
      <c r="AN185" s="61"/>
      <c r="AO185" s="61"/>
      <c r="AP185" s="61"/>
      <c r="AQ185" s="61"/>
      <c r="AR185" s="61"/>
      <c r="AS185" s="61"/>
    </row>
    <row r="186" spans="1:45" s="47" customFormat="1" thickTop="1" x14ac:dyDescent="0.3">
      <c r="A186" s="55" t="s">
        <v>107</v>
      </c>
      <c r="B186" s="92" t="s">
        <v>83</v>
      </c>
      <c r="C186" s="136" t="e">
        <f>IF(D170=0,0%,1-C185)</f>
        <v>#DIV/0!</v>
      </c>
      <c r="D186" s="136" t="e">
        <f>C186</f>
        <v>#DIV/0!</v>
      </c>
      <c r="E186" s="85"/>
      <c r="F186" s="470" t="s">
        <v>99</v>
      </c>
      <c r="G186" s="484" t="e">
        <f>H186*C128</f>
        <v>#DIV/0!</v>
      </c>
      <c r="H186" s="485" t="e">
        <f>C186</f>
        <v>#DIV/0!</v>
      </c>
      <c r="I186" s="486">
        <f>C184</f>
        <v>0</v>
      </c>
      <c r="J186" s="485">
        <f>C213</f>
        <v>0</v>
      </c>
      <c r="K186" s="486" t="e">
        <f>I186*(1-J186)*H186</f>
        <v>#DIV/0!</v>
      </c>
      <c r="M186" s="61"/>
      <c r="N186" s="61"/>
      <c r="O186" s="61"/>
      <c r="P186" s="61"/>
      <c r="Q186" s="61"/>
      <c r="R186" s="61"/>
      <c r="S186" s="61"/>
      <c r="T186" s="61"/>
      <c r="U186" s="61"/>
      <c r="V186" s="61"/>
      <c r="W186" s="61"/>
      <c r="X186" s="61"/>
      <c r="Y186" s="61"/>
      <c r="Z186" s="61"/>
      <c r="AA186" s="61"/>
      <c r="AB186" s="61"/>
      <c r="AC186" s="61"/>
      <c r="AD186" s="61"/>
      <c r="AE186" s="61"/>
      <c r="AF186" s="61"/>
      <c r="AG186" s="60"/>
      <c r="AH186" s="60"/>
      <c r="AI186" s="60"/>
      <c r="AJ186" s="61"/>
      <c r="AK186" s="61"/>
      <c r="AL186" s="61"/>
      <c r="AM186" s="61"/>
      <c r="AN186" s="61"/>
      <c r="AO186" s="61"/>
      <c r="AP186" s="61"/>
      <c r="AQ186" s="61"/>
      <c r="AR186" s="61"/>
      <c r="AS186" s="61"/>
    </row>
    <row r="187" spans="1:45" s="47" customFormat="1" ht="15" thickBot="1" x14ac:dyDescent="0.35">
      <c r="A187" s="107" t="s">
        <v>317</v>
      </c>
      <c r="B187" s="108" t="s">
        <v>83</v>
      </c>
      <c r="C187" s="138" t="e">
        <f>C183*C185+C184*C186</f>
        <v>#DIV/0!</v>
      </c>
      <c r="D187" s="137" t="e">
        <f>D183*D185+D184*D186</f>
        <v>#DIV/0!</v>
      </c>
      <c r="F187" s="487" t="s">
        <v>318</v>
      </c>
      <c r="G187" s="488" t="e">
        <f>SUM(G186:G186)</f>
        <v>#DIV/0!</v>
      </c>
      <c r="H187" s="468" t="e">
        <f>SUM(H185:H186)</f>
        <v>#DIV/0!</v>
      </c>
      <c r="I187" s="468"/>
      <c r="J187" s="468"/>
      <c r="K187" s="468" t="e">
        <f>K185+K186</f>
        <v>#DIV/0!</v>
      </c>
      <c r="M187" s="61"/>
      <c r="N187" s="61"/>
      <c r="O187" s="61"/>
      <c r="P187" s="61"/>
      <c r="Q187" s="61"/>
      <c r="R187" s="61"/>
      <c r="S187" s="61"/>
      <c r="T187" s="61"/>
      <c r="U187" s="61"/>
      <c r="V187" s="61"/>
      <c r="W187" s="61"/>
      <c r="X187" s="61"/>
      <c r="Y187" s="61"/>
      <c r="Z187" s="61"/>
      <c r="AA187" s="61"/>
      <c r="AB187" s="61"/>
      <c r="AC187" s="61"/>
      <c r="AD187" s="61"/>
      <c r="AE187" s="61"/>
      <c r="AF187" s="61"/>
      <c r="AG187" s="60"/>
      <c r="AH187" s="60"/>
      <c r="AI187" s="60"/>
      <c r="AJ187" s="61"/>
      <c r="AK187" s="61"/>
      <c r="AL187" s="61"/>
      <c r="AM187" s="61"/>
      <c r="AN187" s="61"/>
      <c r="AO187" s="61"/>
      <c r="AP187" s="61"/>
      <c r="AQ187" s="61"/>
      <c r="AR187" s="61"/>
      <c r="AS187" s="61"/>
    </row>
    <row r="188" spans="1:45" s="47" customFormat="1" thickTop="1" x14ac:dyDescent="0.3">
      <c r="B188" s="61"/>
      <c r="C188" s="61"/>
      <c r="E188" s="60"/>
      <c r="F188" s="61"/>
      <c r="G188" s="61"/>
      <c r="H188" s="61"/>
      <c r="I188" s="61"/>
      <c r="J188" s="61"/>
      <c r="K188" s="61"/>
      <c r="M188" s="61"/>
      <c r="N188" s="61"/>
      <c r="O188" s="61"/>
      <c r="P188" s="61"/>
      <c r="Q188" s="61"/>
      <c r="R188" s="61"/>
      <c r="S188" s="61"/>
      <c r="T188" s="61"/>
      <c r="U188" s="61"/>
      <c r="V188" s="61"/>
      <c r="W188" s="61"/>
      <c r="X188" s="61"/>
      <c r="Y188" s="61"/>
      <c r="Z188" s="61"/>
      <c r="AA188" s="61"/>
      <c r="AB188" s="61"/>
      <c r="AC188" s="61"/>
      <c r="AD188" s="61"/>
      <c r="AE188" s="61"/>
      <c r="AF188" s="61"/>
      <c r="AG188" s="60"/>
      <c r="AH188" s="60"/>
      <c r="AI188" s="60"/>
      <c r="AJ188" s="61"/>
      <c r="AK188" s="61"/>
      <c r="AL188" s="61"/>
      <c r="AM188" s="61"/>
      <c r="AN188" s="61"/>
      <c r="AO188" s="61"/>
      <c r="AP188" s="61"/>
      <c r="AQ188" s="61"/>
      <c r="AR188" s="61"/>
      <c r="AS188" s="61"/>
    </row>
    <row r="189" spans="1:45" s="47" customFormat="1" ht="13.8" x14ac:dyDescent="0.3">
      <c r="A189" s="582" t="s">
        <v>393</v>
      </c>
      <c r="B189" s="583"/>
      <c r="C189" s="583"/>
      <c r="E189" s="89"/>
      <c r="F189" s="75"/>
      <c r="G189" s="75"/>
      <c r="H189" s="75"/>
      <c r="I189" s="75"/>
      <c r="J189" s="75"/>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0"/>
      <c r="AH189" s="60"/>
      <c r="AI189" s="60"/>
      <c r="AJ189" s="61"/>
      <c r="AK189" s="61"/>
      <c r="AL189" s="61"/>
      <c r="AM189" s="61"/>
      <c r="AN189" s="61"/>
      <c r="AO189" s="61"/>
      <c r="AP189" s="61"/>
      <c r="AQ189" s="61"/>
      <c r="AR189" s="61"/>
      <c r="AS189" s="61"/>
    </row>
    <row r="190" spans="1:45" s="65" customFormat="1" ht="13.8" x14ac:dyDescent="0.3">
      <c r="A190" s="64"/>
      <c r="B190" s="64" t="s">
        <v>47</v>
      </c>
      <c r="C190" s="64" t="s">
        <v>48</v>
      </c>
      <c r="E190" s="75"/>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row>
    <row r="191" spans="1:45" s="47" customFormat="1" ht="13.8" x14ac:dyDescent="0.3">
      <c r="A191" s="132" t="s">
        <v>529</v>
      </c>
      <c r="B191" s="196" t="s">
        <v>118</v>
      </c>
      <c r="C191" s="230">
        <f>IF(A191="Construction Period-Solar",6,IF(A191="Construction Period-Wind",12,IF(A191="Construction Period-Hybrid System",18,IF(A191="Construction Period-Biomass",15,18))))</f>
        <v>18</v>
      </c>
      <c r="D191" s="109"/>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0"/>
      <c r="AH191" s="60"/>
      <c r="AI191" s="60"/>
      <c r="AJ191" s="61"/>
      <c r="AK191" s="61"/>
      <c r="AL191" s="61"/>
      <c r="AM191" s="61"/>
      <c r="AN191" s="61"/>
      <c r="AO191" s="61"/>
      <c r="AP191" s="61"/>
      <c r="AQ191" s="61"/>
      <c r="AR191" s="61"/>
      <c r="AS191" s="61"/>
    </row>
    <row r="192" spans="1:45" s="47" customFormat="1" thickBot="1" x14ac:dyDescent="0.35">
      <c r="A192" s="79" t="s">
        <v>120</v>
      </c>
      <c r="B192" s="80" t="s">
        <v>83</v>
      </c>
      <c r="C192" s="135">
        <f>C183</f>
        <v>0</v>
      </c>
      <c r="E192" s="60"/>
      <c r="F192" s="60"/>
      <c r="G192" s="60"/>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0"/>
      <c r="AH192" s="60"/>
      <c r="AI192" s="60"/>
      <c r="AJ192" s="61"/>
      <c r="AK192" s="61"/>
      <c r="AL192" s="61"/>
      <c r="AM192" s="61"/>
      <c r="AN192" s="61"/>
      <c r="AO192" s="61"/>
      <c r="AP192" s="61"/>
      <c r="AQ192" s="61"/>
      <c r="AR192" s="61"/>
      <c r="AS192" s="61"/>
    </row>
    <row r="193" spans="1:45" s="47" customFormat="1" ht="15" thickTop="1" thickBot="1" x14ac:dyDescent="0.35">
      <c r="A193" s="110" t="s">
        <v>119</v>
      </c>
      <c r="B193" s="207" t="str">
        <f>Inputs!B24</f>
        <v>NGN</v>
      </c>
      <c r="C193" s="222">
        <f>IF(D169&gt;0,(SUM(C24:C97)/2)*((C192/12)*C191),0)</f>
        <v>0</v>
      </c>
      <c r="E193" s="60"/>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0"/>
      <c r="AH193" s="60"/>
      <c r="AI193" s="60"/>
      <c r="AJ193" s="61"/>
      <c r="AK193" s="61"/>
      <c r="AL193" s="61"/>
      <c r="AM193" s="61"/>
      <c r="AN193" s="61"/>
      <c r="AO193" s="61"/>
      <c r="AP193" s="61"/>
      <c r="AQ193" s="61"/>
      <c r="AR193" s="61"/>
      <c r="AS193" s="61"/>
    </row>
    <row r="194" spans="1:45" s="47" customFormat="1" ht="13.8" x14ac:dyDescent="0.3">
      <c r="A194" s="106"/>
      <c r="B194" s="61"/>
      <c r="C194" s="61"/>
      <c r="E194" s="60"/>
      <c r="F194" s="61"/>
      <c r="G194" s="61"/>
      <c r="H194" s="579" t="s">
        <v>496</v>
      </c>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0"/>
      <c r="AH194" s="60"/>
      <c r="AI194" s="60"/>
      <c r="AJ194" s="61"/>
      <c r="AK194" s="61"/>
      <c r="AL194" s="61"/>
      <c r="AM194" s="61"/>
      <c r="AN194" s="61"/>
      <c r="AO194" s="61"/>
      <c r="AP194" s="61"/>
      <c r="AQ194" s="61"/>
      <c r="AR194" s="61"/>
      <c r="AS194" s="61"/>
    </row>
    <row r="195" spans="1:45" s="95" customFormat="1" ht="13.2" customHeight="1" x14ac:dyDescent="0.3">
      <c r="A195" s="93" t="s">
        <v>137</v>
      </c>
      <c r="B195" s="94"/>
      <c r="C195" s="93"/>
      <c r="E195" s="96"/>
      <c r="F195" s="97"/>
      <c r="G195" s="97"/>
      <c r="H195" s="580"/>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6"/>
      <c r="AH195" s="96"/>
      <c r="AI195" s="96"/>
      <c r="AJ195" s="97"/>
      <c r="AK195" s="97"/>
      <c r="AL195" s="97"/>
      <c r="AM195" s="97"/>
      <c r="AN195" s="97"/>
      <c r="AO195" s="97"/>
      <c r="AP195" s="97"/>
      <c r="AQ195" s="97"/>
      <c r="AR195" s="97"/>
      <c r="AS195" s="97"/>
    </row>
    <row r="196" spans="1:45" s="47" customFormat="1" ht="13.2" customHeight="1" thickBot="1" x14ac:dyDescent="0.35">
      <c r="A196" s="106" t="s">
        <v>92</v>
      </c>
      <c r="B196" s="588" t="s">
        <v>498</v>
      </c>
      <c r="C196" s="67" t="s">
        <v>487</v>
      </c>
      <c r="D196" s="111"/>
      <c r="E196" s="577" t="s">
        <v>134</v>
      </c>
      <c r="F196" s="577" t="s">
        <v>128</v>
      </c>
      <c r="G196" s="590" t="s">
        <v>142</v>
      </c>
      <c r="H196" s="581"/>
      <c r="I196" s="109"/>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0"/>
      <c r="AH196" s="60"/>
      <c r="AI196" s="60"/>
      <c r="AJ196" s="61"/>
      <c r="AK196" s="61"/>
      <c r="AL196" s="61"/>
      <c r="AM196" s="61"/>
      <c r="AN196" s="61"/>
      <c r="AO196" s="61"/>
      <c r="AP196" s="61"/>
      <c r="AQ196" s="61"/>
      <c r="AR196" s="61"/>
      <c r="AS196" s="61"/>
    </row>
    <row r="197" spans="1:45" s="47" customFormat="1" ht="13.2" customHeight="1" x14ac:dyDescent="0.3">
      <c r="A197" s="112"/>
      <c r="B197" s="589"/>
      <c r="C197" s="113" t="s">
        <v>257</v>
      </c>
      <c r="D197" s="64" t="s">
        <v>342</v>
      </c>
      <c r="E197" s="578"/>
      <c r="F197" s="578"/>
      <c r="G197" s="591"/>
      <c r="H197" s="469" t="str">
        <f>C20</f>
        <v>NGN</v>
      </c>
      <c r="I197" s="109"/>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0"/>
      <c r="AH197" s="60"/>
      <c r="AI197" s="60"/>
      <c r="AJ197" s="61"/>
      <c r="AK197" s="61"/>
      <c r="AL197" s="61"/>
      <c r="AM197" s="61"/>
      <c r="AN197" s="61"/>
      <c r="AO197" s="61"/>
      <c r="AP197" s="61"/>
      <c r="AQ197" s="61"/>
      <c r="AR197" s="61"/>
      <c r="AS197" s="61"/>
    </row>
    <row r="198" spans="1:45" s="47" customFormat="1" ht="13.8" x14ac:dyDescent="0.3">
      <c r="A198" s="55" t="s">
        <v>139</v>
      </c>
      <c r="B198" s="4"/>
      <c r="C198" s="4"/>
      <c r="D198" s="139">
        <f t="shared" ref="D198:D204" si="34">B198*C198*12</f>
        <v>0</v>
      </c>
      <c r="E198" s="140" t="e">
        <f>D198/$D$205</f>
        <v>#DIV/0!</v>
      </c>
      <c r="F198" s="131"/>
      <c r="G198" s="142" t="e">
        <f t="shared" ref="G198:G204" si="35">F198/E198</f>
        <v>#DIV/0!</v>
      </c>
      <c r="H198" s="41"/>
      <c r="I198" s="169"/>
      <c r="J198" s="401"/>
      <c r="K198" s="467"/>
      <c r="L198" s="61"/>
      <c r="M198" s="61"/>
      <c r="N198" s="61"/>
      <c r="O198" s="61"/>
      <c r="P198" s="61"/>
      <c r="Q198" s="61"/>
      <c r="R198" s="61"/>
      <c r="S198" s="61"/>
      <c r="T198" s="61"/>
      <c r="U198" s="61"/>
      <c r="V198" s="61"/>
      <c r="W198" s="61"/>
      <c r="X198" s="61"/>
      <c r="Y198" s="61"/>
      <c r="Z198" s="61"/>
      <c r="AA198" s="61"/>
      <c r="AB198" s="61"/>
      <c r="AC198" s="61"/>
      <c r="AD198" s="61"/>
      <c r="AE198" s="61"/>
      <c r="AF198" s="61"/>
      <c r="AG198" s="60"/>
      <c r="AH198" s="60"/>
      <c r="AI198" s="60"/>
      <c r="AJ198" s="61"/>
      <c r="AK198" s="61"/>
      <c r="AL198" s="61"/>
      <c r="AM198" s="61"/>
      <c r="AN198" s="61"/>
      <c r="AO198" s="61"/>
      <c r="AP198" s="61"/>
      <c r="AQ198" s="61"/>
      <c r="AR198" s="61"/>
      <c r="AS198" s="61"/>
    </row>
    <row r="199" spans="1:45" s="47" customFormat="1" ht="13.8" x14ac:dyDescent="0.3">
      <c r="A199" s="55" t="s">
        <v>143</v>
      </c>
      <c r="B199" s="4"/>
      <c r="C199" s="4"/>
      <c r="D199" s="139">
        <f t="shared" si="34"/>
        <v>0</v>
      </c>
      <c r="E199" s="140" t="e">
        <f t="shared" ref="E199:E204" si="36">D199/$D$205</f>
        <v>#DIV/0!</v>
      </c>
      <c r="F199" s="131"/>
      <c r="G199" s="142" t="e">
        <f t="shared" si="35"/>
        <v>#DIV/0!</v>
      </c>
      <c r="H199" s="41"/>
      <c r="I199" s="169"/>
      <c r="J199" s="401"/>
      <c r="K199" s="467"/>
      <c r="L199" s="61"/>
      <c r="M199" s="61"/>
      <c r="N199" s="61"/>
      <c r="O199" s="61"/>
      <c r="P199" s="61"/>
      <c r="Q199" s="61"/>
      <c r="R199" s="61"/>
      <c r="S199" s="61"/>
      <c r="T199" s="61"/>
      <c r="U199" s="61"/>
      <c r="V199" s="61"/>
      <c r="W199" s="61"/>
      <c r="X199" s="61"/>
      <c r="Y199" s="61"/>
      <c r="Z199" s="61"/>
      <c r="AA199" s="61"/>
      <c r="AB199" s="61"/>
      <c r="AC199" s="61"/>
      <c r="AD199" s="61"/>
      <c r="AE199" s="61"/>
      <c r="AF199" s="61"/>
      <c r="AG199" s="60"/>
      <c r="AH199" s="60"/>
      <c r="AI199" s="60"/>
      <c r="AJ199" s="61"/>
      <c r="AK199" s="61"/>
      <c r="AL199" s="61"/>
      <c r="AM199" s="61"/>
      <c r="AN199" s="61"/>
      <c r="AO199" s="61"/>
      <c r="AP199" s="61"/>
      <c r="AQ199" s="61"/>
      <c r="AR199" s="61"/>
      <c r="AS199" s="61"/>
    </row>
    <row r="200" spans="1:45" s="47" customFormat="1" ht="13.8" x14ac:dyDescent="0.3">
      <c r="A200" s="55" t="s">
        <v>140</v>
      </c>
      <c r="B200" s="4"/>
      <c r="C200" s="4"/>
      <c r="D200" s="139">
        <f t="shared" si="34"/>
        <v>0</v>
      </c>
      <c r="E200" s="140" t="e">
        <f t="shared" si="36"/>
        <v>#DIV/0!</v>
      </c>
      <c r="F200" s="131"/>
      <c r="G200" s="142" t="e">
        <f t="shared" si="35"/>
        <v>#DIV/0!</v>
      </c>
      <c r="H200" s="41"/>
      <c r="I200" s="169"/>
      <c r="J200" s="401"/>
      <c r="K200" s="467"/>
      <c r="L200" s="61"/>
      <c r="M200" s="61"/>
      <c r="N200" s="61"/>
      <c r="O200" s="61"/>
      <c r="P200" s="61"/>
      <c r="Q200" s="61"/>
      <c r="R200" s="61"/>
      <c r="S200" s="61"/>
      <c r="T200" s="61"/>
      <c r="U200" s="61"/>
      <c r="V200" s="61"/>
      <c r="W200" s="61"/>
      <c r="X200" s="61"/>
      <c r="Y200" s="61"/>
      <c r="Z200" s="61"/>
      <c r="AA200" s="61"/>
      <c r="AB200" s="61"/>
      <c r="AC200" s="61"/>
      <c r="AD200" s="61"/>
      <c r="AE200" s="61"/>
      <c r="AF200" s="61"/>
      <c r="AG200" s="60"/>
      <c r="AH200" s="60"/>
      <c r="AI200" s="60"/>
      <c r="AJ200" s="61"/>
      <c r="AK200" s="61"/>
      <c r="AL200" s="61"/>
      <c r="AM200" s="61"/>
      <c r="AN200" s="61"/>
      <c r="AO200" s="61"/>
      <c r="AP200" s="61"/>
      <c r="AQ200" s="61"/>
      <c r="AR200" s="61"/>
      <c r="AS200" s="61"/>
    </row>
    <row r="201" spans="1:45" s="47" customFormat="1" ht="13.8" x14ac:dyDescent="0.3">
      <c r="A201" s="55" t="s">
        <v>144</v>
      </c>
      <c r="B201" s="4"/>
      <c r="C201" s="4"/>
      <c r="D201" s="139">
        <f t="shared" si="34"/>
        <v>0</v>
      </c>
      <c r="E201" s="140" t="e">
        <f t="shared" si="36"/>
        <v>#DIV/0!</v>
      </c>
      <c r="F201" s="131"/>
      <c r="G201" s="142" t="e">
        <f t="shared" si="35"/>
        <v>#DIV/0!</v>
      </c>
      <c r="H201" s="41"/>
      <c r="I201" s="169"/>
      <c r="J201" s="401"/>
      <c r="K201" s="467"/>
      <c r="L201" s="61"/>
      <c r="M201" s="61"/>
      <c r="N201" s="61"/>
      <c r="O201" s="61"/>
      <c r="P201" s="61"/>
      <c r="Q201" s="61"/>
      <c r="R201" s="61"/>
      <c r="S201" s="61"/>
      <c r="T201" s="61"/>
      <c r="U201" s="61"/>
      <c r="V201" s="61"/>
      <c r="W201" s="61"/>
      <c r="X201" s="61"/>
      <c r="Y201" s="61"/>
      <c r="Z201" s="61"/>
      <c r="AA201" s="61"/>
      <c r="AB201" s="61"/>
      <c r="AC201" s="61"/>
      <c r="AD201" s="61"/>
      <c r="AE201" s="61"/>
      <c r="AF201" s="61"/>
      <c r="AG201" s="60"/>
      <c r="AH201" s="60"/>
      <c r="AI201" s="60"/>
      <c r="AJ201" s="61"/>
      <c r="AK201" s="61"/>
      <c r="AL201" s="61"/>
      <c r="AM201" s="61"/>
      <c r="AN201" s="61"/>
      <c r="AO201" s="61"/>
      <c r="AP201" s="61"/>
      <c r="AQ201" s="61"/>
      <c r="AR201" s="61"/>
      <c r="AS201" s="61"/>
    </row>
    <row r="202" spans="1:45" s="47" customFormat="1" ht="13.8" x14ac:dyDescent="0.3">
      <c r="A202" s="55" t="s">
        <v>145</v>
      </c>
      <c r="B202" s="4"/>
      <c r="C202" s="4"/>
      <c r="D202" s="139">
        <f t="shared" si="34"/>
        <v>0</v>
      </c>
      <c r="E202" s="140" t="e">
        <f t="shared" si="36"/>
        <v>#DIV/0!</v>
      </c>
      <c r="F202" s="131"/>
      <c r="G202" s="142" t="e">
        <f t="shared" si="35"/>
        <v>#DIV/0!</v>
      </c>
      <c r="H202" s="41"/>
      <c r="I202" s="169"/>
      <c r="J202" s="401"/>
      <c r="K202" s="467"/>
      <c r="L202" s="61"/>
      <c r="M202" s="61"/>
      <c r="N202" s="61"/>
      <c r="O202" s="61"/>
      <c r="P202" s="61"/>
      <c r="Q202" s="61"/>
      <c r="R202" s="61"/>
      <c r="S202" s="61"/>
      <c r="T202" s="61"/>
      <c r="U202" s="61"/>
      <c r="V202" s="61"/>
      <c r="W202" s="61"/>
      <c r="X202" s="61"/>
      <c r="Y202" s="61"/>
      <c r="Z202" s="61"/>
      <c r="AA202" s="61"/>
      <c r="AB202" s="61"/>
      <c r="AC202" s="61"/>
      <c r="AD202" s="61"/>
      <c r="AE202" s="61"/>
      <c r="AF202" s="61"/>
      <c r="AG202" s="60"/>
      <c r="AH202" s="60"/>
      <c r="AI202" s="60"/>
      <c r="AJ202" s="61"/>
      <c r="AK202" s="61"/>
      <c r="AL202" s="61"/>
      <c r="AM202" s="61"/>
      <c r="AN202" s="61"/>
      <c r="AO202" s="61"/>
      <c r="AP202" s="61"/>
      <c r="AQ202" s="61"/>
      <c r="AR202" s="61"/>
      <c r="AS202" s="61"/>
    </row>
    <row r="203" spans="1:45" s="47" customFormat="1" ht="13.8" x14ac:dyDescent="0.3">
      <c r="A203" s="55" t="s">
        <v>146</v>
      </c>
      <c r="B203" s="4"/>
      <c r="C203" s="4"/>
      <c r="D203" s="139">
        <f t="shared" si="34"/>
        <v>0</v>
      </c>
      <c r="E203" s="140" t="e">
        <f t="shared" si="36"/>
        <v>#DIV/0!</v>
      </c>
      <c r="F203" s="131"/>
      <c r="G203" s="142" t="e">
        <f t="shared" si="35"/>
        <v>#DIV/0!</v>
      </c>
      <c r="H203" s="41"/>
      <c r="I203" s="169"/>
      <c r="J203" s="401"/>
      <c r="K203" s="467"/>
      <c r="L203" s="61"/>
      <c r="M203" s="61"/>
      <c r="N203" s="61"/>
      <c r="O203" s="61"/>
      <c r="P203" s="61"/>
      <c r="Q203" s="61"/>
      <c r="R203" s="61"/>
      <c r="S203" s="61"/>
      <c r="T203" s="61"/>
      <c r="U203" s="61"/>
      <c r="V203" s="61"/>
      <c r="W203" s="61"/>
      <c r="X203" s="61"/>
      <c r="Y203" s="61"/>
      <c r="Z203" s="61"/>
      <c r="AA203" s="61"/>
      <c r="AB203" s="61"/>
      <c r="AC203" s="61"/>
      <c r="AD203" s="61"/>
      <c r="AE203" s="61"/>
      <c r="AF203" s="61"/>
      <c r="AG203" s="60"/>
      <c r="AH203" s="60"/>
      <c r="AI203" s="60"/>
      <c r="AJ203" s="61"/>
      <c r="AK203" s="61"/>
      <c r="AL203" s="61"/>
      <c r="AM203" s="61"/>
      <c r="AN203" s="61"/>
      <c r="AO203" s="61"/>
      <c r="AP203" s="61"/>
      <c r="AQ203" s="61"/>
      <c r="AR203" s="61"/>
      <c r="AS203" s="61"/>
    </row>
    <row r="204" spans="1:45" s="47" customFormat="1" ht="13.8" x14ac:dyDescent="0.3">
      <c r="A204" s="55" t="s">
        <v>141</v>
      </c>
      <c r="B204" s="4"/>
      <c r="C204" s="4"/>
      <c r="D204" s="139">
        <f t="shared" si="34"/>
        <v>0</v>
      </c>
      <c r="E204" s="140" t="e">
        <f t="shared" si="36"/>
        <v>#DIV/0!</v>
      </c>
      <c r="F204" s="131"/>
      <c r="G204" s="142" t="e">
        <f t="shared" si="35"/>
        <v>#DIV/0!</v>
      </c>
      <c r="H204" s="41"/>
      <c r="I204" s="61"/>
      <c r="J204" s="61"/>
      <c r="L204" s="61"/>
      <c r="M204" s="61"/>
      <c r="N204" s="61"/>
      <c r="O204" s="61"/>
      <c r="P204" s="61"/>
      <c r="Q204" s="61"/>
      <c r="R204" s="61"/>
      <c r="S204" s="61"/>
      <c r="T204" s="61"/>
      <c r="U204" s="61"/>
      <c r="V204" s="61"/>
      <c r="W204" s="61"/>
      <c r="X204" s="61"/>
      <c r="Y204" s="61"/>
      <c r="Z204" s="61"/>
      <c r="AA204" s="61"/>
      <c r="AB204" s="61"/>
      <c r="AC204" s="61"/>
      <c r="AD204" s="61"/>
      <c r="AE204" s="61"/>
      <c r="AF204" s="61"/>
      <c r="AG204" s="60"/>
      <c r="AH204" s="60"/>
      <c r="AI204" s="60"/>
      <c r="AJ204" s="61"/>
      <c r="AK204" s="61"/>
      <c r="AL204" s="61"/>
      <c r="AM204" s="61"/>
      <c r="AN204" s="61"/>
      <c r="AO204" s="61"/>
      <c r="AP204" s="61"/>
      <c r="AQ204" s="61"/>
      <c r="AR204" s="61"/>
      <c r="AS204" s="61"/>
    </row>
    <row r="205" spans="1:45" s="47" customFormat="1" ht="13.8" x14ac:dyDescent="0.3">
      <c r="A205" s="82" t="s">
        <v>75</v>
      </c>
      <c r="B205" s="192">
        <f>SUM(B198:B204)</f>
        <v>0</v>
      </c>
      <c r="C205" s="130">
        <f>SUM(C198:C204)</f>
        <v>0</v>
      </c>
      <c r="D205" s="229">
        <f>IF(SUM(D198:D204)&gt;=C14,SUM(D198:D204),"Excess Capacity")</f>
        <v>0</v>
      </c>
      <c r="E205" s="141" t="e">
        <f>SUM(E198:E204)</f>
        <v>#DIV/0!</v>
      </c>
      <c r="F205" s="143" t="str">
        <f>IF(SUM(F198:F204)=100%,SUM(F198:F204),"Error")</f>
        <v>Error</v>
      </c>
      <c r="G205" s="142" t="e">
        <f>SUM(G198:G204)</f>
        <v>#DIV/0!</v>
      </c>
      <c r="H205" s="130" t="e">
        <f>AVERAGE(H198:H204)</f>
        <v>#DIV/0!</v>
      </c>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0"/>
      <c r="AH205" s="60"/>
      <c r="AI205" s="60"/>
      <c r="AJ205" s="61"/>
      <c r="AK205" s="61"/>
      <c r="AL205" s="61"/>
      <c r="AM205" s="61"/>
      <c r="AN205" s="61"/>
      <c r="AO205" s="61"/>
      <c r="AP205" s="61"/>
      <c r="AQ205" s="61"/>
      <c r="AR205" s="61"/>
      <c r="AS205" s="61"/>
    </row>
    <row r="206" spans="1:45" s="47" customFormat="1" ht="13.8" x14ac:dyDescent="0.3">
      <c r="A206" s="93" t="s">
        <v>492</v>
      </c>
      <c r="B206" s="91" t="s">
        <v>150</v>
      </c>
      <c r="C206" s="91">
        <v>1</v>
      </c>
      <c r="D206" s="91">
        <f>C206+1</f>
        <v>2</v>
      </c>
      <c r="E206" s="91">
        <f t="shared" ref="E206" si="37">D206+1</f>
        <v>3</v>
      </c>
      <c r="F206" s="91">
        <f>E206+1</f>
        <v>4</v>
      </c>
      <c r="G206" s="91">
        <f t="shared" ref="G206" si="38">F206+1</f>
        <v>5</v>
      </c>
      <c r="H206" s="190"/>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0"/>
      <c r="AH206" s="60"/>
      <c r="AI206" s="60"/>
      <c r="AJ206" s="61"/>
      <c r="AK206" s="61"/>
      <c r="AL206" s="61"/>
      <c r="AM206" s="61"/>
      <c r="AN206" s="61"/>
      <c r="AO206" s="61"/>
      <c r="AP206" s="61"/>
      <c r="AQ206" s="61"/>
      <c r="AR206" s="61"/>
      <c r="AS206" s="61"/>
    </row>
    <row r="207" spans="1:45" s="47" customFormat="1" ht="13.8" x14ac:dyDescent="0.3">
      <c r="A207" s="55" t="s">
        <v>491</v>
      </c>
      <c r="B207" s="5" t="s">
        <v>127</v>
      </c>
      <c r="C207" s="4"/>
      <c r="D207" s="4"/>
      <c r="E207" s="4"/>
      <c r="F207" s="4"/>
      <c r="G207" s="4"/>
      <c r="H207" s="190"/>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0"/>
      <c r="AH207" s="60"/>
      <c r="AI207" s="60"/>
      <c r="AJ207" s="61"/>
      <c r="AK207" s="61"/>
      <c r="AL207" s="61"/>
      <c r="AM207" s="61"/>
      <c r="AN207" s="61"/>
      <c r="AO207" s="61"/>
      <c r="AP207" s="61"/>
      <c r="AQ207" s="61"/>
      <c r="AR207" s="61"/>
      <c r="AS207" s="61"/>
    </row>
    <row r="208" spans="1:45" s="47" customFormat="1" ht="13.8" x14ac:dyDescent="0.3">
      <c r="A208" s="55" t="s">
        <v>499</v>
      </c>
      <c r="B208" s="5" t="s">
        <v>86</v>
      </c>
      <c r="C208" s="4"/>
      <c r="D208" s="4"/>
      <c r="E208" s="4"/>
      <c r="F208" s="4"/>
      <c r="G208" s="4"/>
      <c r="H208" s="190"/>
      <c r="AG208" s="85"/>
      <c r="AH208" s="85"/>
      <c r="AI208" s="85"/>
    </row>
    <row r="209" spans="1:306" s="47" customFormat="1" ht="13.8" x14ac:dyDescent="0.3">
      <c r="A209" s="228" t="s">
        <v>495</v>
      </c>
      <c r="B209" s="5" t="s">
        <v>86</v>
      </c>
      <c r="C209" s="229" t="str">
        <f>IF(C208&gt;=C14,"","Excess Capacity")</f>
        <v/>
      </c>
      <c r="D209" s="229" t="str">
        <f>IF(D208&gt;=Calculations!E9,"","Excess Capacity")</f>
        <v/>
      </c>
      <c r="E209" s="229" t="str">
        <f>IF(E208&gt;=Calculations!F9,"","Excess Capacity")</f>
        <v/>
      </c>
      <c r="F209" s="229" t="str">
        <f>IF(F208&gt;=Calculations!G9,"","Excess Capacity")</f>
        <v/>
      </c>
      <c r="G209" s="229" t="str">
        <f>IF(G208&gt;=Calculations!H9,"","Excess Capacity")</f>
        <v/>
      </c>
      <c r="H209" s="190"/>
      <c r="AG209" s="85"/>
      <c r="AH209" s="85"/>
      <c r="AI209" s="85"/>
    </row>
    <row r="210" spans="1:306" s="47" customFormat="1" ht="13.8" x14ac:dyDescent="0.3">
      <c r="B210" s="61"/>
      <c r="E210" s="85"/>
      <c r="AG210" s="85"/>
      <c r="AH210" s="85"/>
      <c r="AI210" s="85"/>
    </row>
    <row r="211" spans="1:306" s="95" customFormat="1" ht="13.8" x14ac:dyDescent="0.3">
      <c r="A211" s="93" t="s">
        <v>138</v>
      </c>
      <c r="B211" s="94"/>
      <c r="C211" s="93"/>
      <c r="E211" s="96"/>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6"/>
      <c r="AH211" s="96"/>
      <c r="AI211" s="96"/>
      <c r="AJ211" s="97"/>
      <c r="AK211" s="97"/>
      <c r="AL211" s="97"/>
      <c r="AM211" s="97"/>
      <c r="AN211" s="97"/>
      <c r="AO211" s="97"/>
      <c r="AP211" s="97"/>
      <c r="AQ211" s="97"/>
      <c r="AR211" s="97"/>
      <c r="AS211" s="97"/>
    </row>
    <row r="212" spans="1:306" s="47" customFormat="1" ht="13.8" x14ac:dyDescent="0.3">
      <c r="A212" s="64"/>
      <c r="B212" s="64" t="s">
        <v>47</v>
      </c>
      <c r="C212" s="64" t="s">
        <v>48</v>
      </c>
      <c r="AG212" s="85"/>
      <c r="AH212" s="85"/>
      <c r="AI212" s="85"/>
    </row>
    <row r="213" spans="1:306" s="47" customFormat="1" ht="13.8" x14ac:dyDescent="0.3">
      <c r="A213" s="55" t="s">
        <v>129</v>
      </c>
      <c r="B213" s="5" t="s">
        <v>83</v>
      </c>
      <c r="C213" s="131"/>
      <c r="AG213" s="85"/>
      <c r="AH213" s="85"/>
      <c r="AI213" s="85"/>
    </row>
    <row r="214" spans="1:306" s="47" customFormat="1" ht="13.8" x14ac:dyDescent="0.3">
      <c r="A214" s="55" t="s">
        <v>196</v>
      </c>
      <c r="B214" s="5" t="s">
        <v>83</v>
      </c>
      <c r="C214" s="131"/>
      <c r="E214" s="85"/>
      <c r="AG214" s="85"/>
      <c r="AH214" s="85"/>
      <c r="AI214" s="85"/>
    </row>
    <row r="215" spans="1:306" s="47" customFormat="1" ht="13.8" x14ac:dyDescent="0.3">
      <c r="A215" s="55" t="s">
        <v>217</v>
      </c>
      <c r="B215" s="5" t="s">
        <v>83</v>
      </c>
      <c r="C215" s="131"/>
      <c r="D215" s="47" t="s">
        <v>195</v>
      </c>
      <c r="E215" s="85"/>
      <c r="AG215" s="85"/>
      <c r="AH215" s="85"/>
      <c r="AI215" s="85"/>
    </row>
    <row r="216" spans="1:306" s="47" customFormat="1" ht="13.8" x14ac:dyDescent="0.3">
      <c r="A216" s="55" t="s">
        <v>197</v>
      </c>
      <c r="B216" s="195" t="str">
        <f>C20</f>
        <v>NGN</v>
      </c>
      <c r="C216" s="225"/>
      <c r="D216" s="47" t="s">
        <v>194</v>
      </c>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c r="BT216" s="114"/>
      <c r="BU216" s="114"/>
      <c r="BV216" s="114"/>
      <c r="BW216" s="114"/>
      <c r="BX216" s="114"/>
      <c r="BY216" s="114"/>
      <c r="BZ216" s="114"/>
      <c r="CA216" s="114"/>
      <c r="CB216" s="114"/>
      <c r="CC216" s="114"/>
      <c r="CD216" s="114"/>
      <c r="CE216" s="114"/>
      <c r="CF216" s="114"/>
      <c r="CG216" s="114"/>
      <c r="CH216" s="114"/>
      <c r="CI216" s="114"/>
      <c r="CJ216" s="114"/>
      <c r="CK216" s="114"/>
      <c r="CL216" s="114"/>
      <c r="CM216" s="114"/>
      <c r="CN216" s="114"/>
      <c r="CO216" s="114"/>
      <c r="CP216" s="114"/>
      <c r="CQ216" s="114"/>
      <c r="CR216" s="114"/>
      <c r="CS216" s="114"/>
      <c r="CT216" s="114"/>
      <c r="CU216" s="114"/>
      <c r="CV216" s="114"/>
      <c r="CW216" s="114"/>
      <c r="CX216" s="114"/>
      <c r="CY216" s="114"/>
      <c r="CZ216" s="114"/>
      <c r="DA216" s="114"/>
      <c r="DB216" s="114"/>
      <c r="DC216" s="114"/>
      <c r="DD216" s="114"/>
      <c r="DE216" s="114"/>
      <c r="DF216" s="114"/>
      <c r="DG216" s="114"/>
      <c r="DH216" s="114"/>
      <c r="DI216" s="114"/>
      <c r="DJ216" s="114"/>
      <c r="DK216" s="114"/>
      <c r="DL216" s="114"/>
      <c r="DM216" s="114"/>
      <c r="DN216" s="114"/>
      <c r="DO216" s="114"/>
      <c r="DP216" s="114"/>
      <c r="DQ216" s="114"/>
      <c r="DR216" s="114"/>
      <c r="DS216" s="114"/>
      <c r="DT216" s="114"/>
      <c r="DU216" s="114"/>
      <c r="DV216" s="114"/>
      <c r="DW216" s="114"/>
      <c r="DX216" s="114"/>
      <c r="DY216" s="114"/>
      <c r="DZ216" s="114"/>
      <c r="EA216" s="114"/>
      <c r="EB216" s="114"/>
      <c r="EC216" s="114"/>
      <c r="ED216" s="114"/>
      <c r="EE216" s="114"/>
      <c r="EF216" s="114"/>
      <c r="EG216" s="114"/>
      <c r="EH216" s="114"/>
      <c r="EI216" s="114"/>
      <c r="EJ216" s="114"/>
      <c r="EK216" s="114"/>
      <c r="EL216" s="114"/>
      <c r="EM216" s="114"/>
      <c r="EN216" s="114"/>
      <c r="EO216" s="114"/>
      <c r="EP216" s="114"/>
      <c r="EQ216" s="114"/>
      <c r="ER216" s="114"/>
      <c r="ES216" s="114"/>
      <c r="ET216" s="114"/>
      <c r="EU216" s="114"/>
      <c r="EV216" s="114"/>
      <c r="EW216" s="114"/>
      <c r="EX216" s="114"/>
      <c r="EY216" s="114"/>
      <c r="EZ216" s="114"/>
      <c r="FA216" s="114"/>
      <c r="FB216" s="114"/>
      <c r="FC216" s="114"/>
      <c r="FD216" s="114"/>
      <c r="FE216" s="114"/>
      <c r="FF216" s="114"/>
      <c r="FG216" s="114"/>
      <c r="FH216" s="114"/>
      <c r="FI216" s="114"/>
      <c r="FJ216" s="114"/>
      <c r="FK216" s="114"/>
      <c r="FL216" s="114"/>
      <c r="FM216" s="114"/>
      <c r="FN216" s="114"/>
      <c r="FO216" s="114"/>
      <c r="FP216" s="114"/>
      <c r="FQ216" s="114"/>
      <c r="FR216" s="114"/>
      <c r="FS216" s="114"/>
      <c r="FT216" s="114"/>
      <c r="FU216" s="114"/>
      <c r="FV216" s="114"/>
      <c r="FW216" s="114"/>
      <c r="FX216" s="114"/>
      <c r="FY216" s="114"/>
      <c r="FZ216" s="114"/>
      <c r="GA216" s="114"/>
      <c r="GB216" s="114"/>
      <c r="GC216" s="114"/>
      <c r="GD216" s="114"/>
      <c r="GE216" s="114"/>
      <c r="GF216" s="114"/>
      <c r="GG216" s="114"/>
      <c r="GH216" s="114"/>
      <c r="GI216" s="114"/>
      <c r="GJ216" s="114"/>
      <c r="GK216" s="114"/>
      <c r="GL216" s="114"/>
      <c r="GM216" s="114"/>
      <c r="GN216" s="114"/>
      <c r="GO216" s="114"/>
      <c r="GP216" s="114"/>
      <c r="GQ216" s="114"/>
      <c r="GR216" s="114"/>
      <c r="GS216" s="114"/>
      <c r="GT216" s="114"/>
      <c r="GU216" s="114"/>
      <c r="GV216" s="114"/>
      <c r="GW216" s="114"/>
      <c r="GX216" s="114"/>
      <c r="GY216" s="114"/>
      <c r="GZ216" s="114"/>
      <c r="HA216" s="114"/>
      <c r="HB216" s="114"/>
      <c r="HC216" s="114"/>
      <c r="HD216" s="114"/>
      <c r="HE216" s="114"/>
      <c r="HF216" s="114"/>
      <c r="HG216" s="114"/>
      <c r="HH216" s="114"/>
      <c r="HI216" s="114"/>
      <c r="HJ216" s="114"/>
      <c r="HK216" s="114"/>
      <c r="HL216" s="114"/>
      <c r="HM216" s="114"/>
      <c r="HN216" s="114"/>
      <c r="HO216" s="114"/>
      <c r="HP216" s="114"/>
      <c r="HQ216" s="114"/>
      <c r="HR216" s="114"/>
      <c r="HS216" s="114"/>
      <c r="HT216" s="114"/>
      <c r="HU216" s="114"/>
      <c r="HV216" s="114"/>
      <c r="HW216" s="114"/>
      <c r="HX216" s="114"/>
      <c r="HY216" s="114"/>
      <c r="HZ216" s="114"/>
      <c r="IA216" s="114"/>
      <c r="IB216" s="114"/>
      <c r="IC216" s="114"/>
      <c r="ID216" s="114"/>
      <c r="IE216" s="114"/>
      <c r="IF216" s="114"/>
      <c r="IG216" s="114"/>
      <c r="IH216" s="114"/>
      <c r="II216" s="114"/>
      <c r="IJ216" s="114"/>
      <c r="IK216" s="114"/>
      <c r="IL216" s="114"/>
      <c r="IM216" s="114"/>
      <c r="IN216" s="114"/>
      <c r="IO216" s="114"/>
      <c r="IP216" s="114"/>
      <c r="IQ216" s="114"/>
      <c r="IR216" s="114"/>
      <c r="IS216" s="114"/>
      <c r="IT216" s="114"/>
      <c r="IU216" s="114"/>
      <c r="IV216" s="114"/>
      <c r="IW216" s="114"/>
      <c r="IX216" s="114"/>
      <c r="IY216" s="114"/>
      <c r="IZ216" s="114"/>
      <c r="JA216" s="114"/>
      <c r="JB216" s="114"/>
      <c r="JC216" s="114"/>
      <c r="JD216" s="114"/>
      <c r="JE216" s="114"/>
      <c r="JF216" s="114"/>
      <c r="JG216" s="114"/>
      <c r="JH216" s="114"/>
      <c r="JI216" s="114"/>
      <c r="JJ216" s="114"/>
      <c r="JK216" s="114"/>
      <c r="JL216" s="114"/>
      <c r="JM216" s="114"/>
      <c r="JN216" s="114"/>
      <c r="JO216" s="114"/>
      <c r="JP216" s="114"/>
      <c r="JQ216" s="114"/>
      <c r="JR216" s="114"/>
      <c r="JS216" s="114"/>
      <c r="JT216" s="114"/>
      <c r="JU216" s="114"/>
      <c r="JV216" s="114"/>
      <c r="JW216" s="114"/>
      <c r="JX216" s="114"/>
      <c r="JY216" s="114"/>
      <c r="JZ216" s="114"/>
      <c r="KA216" s="114"/>
      <c r="KB216" s="114"/>
      <c r="KC216" s="114"/>
      <c r="KD216" s="114"/>
      <c r="KE216" s="114"/>
      <c r="KF216" s="114"/>
      <c r="KG216" s="114"/>
      <c r="KH216" s="114"/>
      <c r="KI216" s="114"/>
      <c r="KJ216" s="114"/>
      <c r="KK216" s="114"/>
      <c r="KL216" s="114"/>
      <c r="KM216" s="114"/>
      <c r="KN216" s="114"/>
      <c r="KO216" s="114"/>
      <c r="KP216" s="114"/>
      <c r="KQ216" s="114"/>
      <c r="KR216" s="114"/>
      <c r="KS216" s="114"/>
      <c r="KT216" s="114"/>
    </row>
    <row r="217" spans="1:306" s="47" customFormat="1" ht="13.8" x14ac:dyDescent="0.3">
      <c r="A217" s="82" t="s">
        <v>198</v>
      </c>
      <c r="B217" s="192" t="str">
        <f>C20</f>
        <v>NGN</v>
      </c>
      <c r="C217" s="227">
        <f>C216*(1+C215)^COUNT(Calculations!E9:I9)</f>
        <v>0</v>
      </c>
      <c r="D217" s="47" t="s">
        <v>194</v>
      </c>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114"/>
      <c r="AU217" s="114"/>
      <c r="AV217" s="114"/>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c r="BT217" s="114"/>
      <c r="BU217" s="114"/>
      <c r="BV217" s="114"/>
      <c r="BW217" s="114"/>
      <c r="BX217" s="114"/>
      <c r="BY217" s="114"/>
      <c r="BZ217" s="114"/>
      <c r="CA217" s="114"/>
      <c r="CB217" s="114"/>
      <c r="CC217" s="114"/>
      <c r="CD217" s="114"/>
      <c r="CE217" s="114"/>
      <c r="CF217" s="114"/>
      <c r="CG217" s="114"/>
      <c r="CH217" s="114"/>
      <c r="CI217" s="114"/>
      <c r="CJ217" s="114"/>
      <c r="CK217" s="114"/>
      <c r="CL217" s="114"/>
      <c r="CM217" s="114"/>
      <c r="CN217" s="114"/>
      <c r="CO217" s="114"/>
      <c r="CP217" s="114"/>
      <c r="CQ217" s="114"/>
      <c r="CR217" s="114"/>
      <c r="CS217" s="114"/>
      <c r="CT217" s="114"/>
      <c r="CU217" s="114"/>
      <c r="CV217" s="114"/>
      <c r="CW217" s="114"/>
      <c r="CX217" s="114"/>
      <c r="CY217" s="114"/>
      <c r="CZ217" s="114"/>
      <c r="DA217" s="114"/>
      <c r="DB217" s="114"/>
      <c r="DC217" s="114"/>
      <c r="DD217" s="114"/>
      <c r="DE217" s="114"/>
      <c r="DF217" s="114"/>
      <c r="DG217" s="114"/>
      <c r="DH217" s="114"/>
      <c r="DI217" s="114"/>
      <c r="DJ217" s="114"/>
      <c r="DK217" s="114"/>
      <c r="DL217" s="114"/>
      <c r="DM217" s="114"/>
      <c r="DN217" s="114"/>
      <c r="DO217" s="114"/>
      <c r="DP217" s="114"/>
      <c r="DQ217" s="114"/>
      <c r="DR217" s="114"/>
      <c r="DS217" s="114"/>
      <c r="DT217" s="114"/>
      <c r="DU217" s="114"/>
      <c r="DV217" s="114"/>
      <c r="DW217" s="114"/>
      <c r="DX217" s="114"/>
      <c r="DY217" s="114"/>
      <c r="DZ217" s="114"/>
      <c r="EA217" s="114"/>
      <c r="EB217" s="114"/>
      <c r="EC217" s="114"/>
      <c r="ED217" s="114"/>
      <c r="EE217" s="114"/>
      <c r="EF217" s="114"/>
      <c r="EG217" s="114"/>
      <c r="EH217" s="114"/>
      <c r="EI217" s="114"/>
      <c r="EJ217" s="114"/>
      <c r="EK217" s="114"/>
      <c r="EL217" s="114"/>
      <c r="EM217" s="114"/>
      <c r="EN217" s="114"/>
      <c r="EO217" s="114"/>
      <c r="EP217" s="114"/>
      <c r="EQ217" s="114"/>
      <c r="ER217" s="114"/>
      <c r="ES217" s="114"/>
      <c r="ET217" s="114"/>
      <c r="EU217" s="114"/>
      <c r="EV217" s="114"/>
      <c r="EW217" s="114"/>
      <c r="EX217" s="114"/>
      <c r="EY217" s="114"/>
      <c r="EZ217" s="114"/>
      <c r="FA217" s="114"/>
      <c r="FB217" s="114"/>
      <c r="FC217" s="114"/>
      <c r="FD217" s="114"/>
      <c r="FE217" s="114"/>
      <c r="FF217" s="114"/>
      <c r="FG217" s="114"/>
      <c r="FH217" s="114"/>
      <c r="FI217" s="114"/>
      <c r="FJ217" s="114"/>
      <c r="FK217" s="114"/>
      <c r="FL217" s="114"/>
      <c r="FM217" s="114"/>
      <c r="FN217" s="114"/>
      <c r="FO217" s="114"/>
      <c r="FP217" s="114"/>
      <c r="FQ217" s="114"/>
      <c r="FR217" s="114"/>
      <c r="FS217" s="114"/>
      <c r="FT217" s="114"/>
      <c r="FU217" s="114"/>
      <c r="FV217" s="114"/>
      <c r="FW217" s="114"/>
      <c r="FX217" s="114"/>
      <c r="FY217" s="114"/>
      <c r="FZ217" s="114"/>
      <c r="GA217" s="114"/>
      <c r="GB217" s="114"/>
      <c r="GC217" s="114"/>
      <c r="GD217" s="114"/>
      <c r="GE217" s="114"/>
      <c r="GF217" s="114"/>
      <c r="GG217" s="114"/>
      <c r="GH217" s="114"/>
      <c r="GI217" s="114"/>
      <c r="GJ217" s="114"/>
      <c r="GK217" s="114"/>
      <c r="GL217" s="114"/>
      <c r="GM217" s="114"/>
      <c r="GN217" s="114"/>
      <c r="GO217" s="114"/>
      <c r="GP217" s="114"/>
      <c r="GQ217" s="114"/>
      <c r="GR217" s="114"/>
      <c r="GS217" s="114"/>
      <c r="GT217" s="114"/>
      <c r="GU217" s="114"/>
      <c r="GV217" s="114"/>
      <c r="GW217" s="114"/>
      <c r="GX217" s="114"/>
      <c r="GY217" s="114"/>
      <c r="GZ217" s="114"/>
      <c r="HA217" s="114"/>
      <c r="HB217" s="114"/>
      <c r="HC217" s="114"/>
      <c r="HD217" s="114"/>
      <c r="HE217" s="114"/>
      <c r="HF217" s="114"/>
      <c r="HG217" s="114"/>
      <c r="HH217" s="114"/>
      <c r="HI217" s="114"/>
      <c r="HJ217" s="114"/>
      <c r="HK217" s="114"/>
      <c r="HL217" s="114"/>
      <c r="HM217" s="114"/>
      <c r="HN217" s="114"/>
      <c r="HO217" s="114"/>
      <c r="HP217" s="114"/>
      <c r="HQ217" s="114"/>
      <c r="HR217" s="114"/>
      <c r="HS217" s="114"/>
      <c r="HT217" s="114"/>
      <c r="HU217" s="114"/>
      <c r="HV217" s="114"/>
      <c r="HW217" s="114"/>
      <c r="HX217" s="114"/>
      <c r="HY217" s="114"/>
      <c r="HZ217" s="114"/>
      <c r="IA217" s="114"/>
      <c r="IB217" s="114"/>
      <c r="IC217" s="114"/>
      <c r="ID217" s="114"/>
      <c r="IE217" s="114"/>
      <c r="IF217" s="114"/>
      <c r="IG217" s="114"/>
      <c r="IH217" s="114"/>
      <c r="II217" s="114"/>
      <c r="IJ217" s="114"/>
      <c r="IK217" s="114"/>
      <c r="IL217" s="114"/>
      <c r="IM217" s="114"/>
      <c r="IN217" s="114"/>
      <c r="IO217" s="114"/>
      <c r="IP217" s="114"/>
      <c r="IQ217" s="114"/>
      <c r="IR217" s="114"/>
      <c r="IS217" s="114"/>
      <c r="IT217" s="114"/>
      <c r="IU217" s="114"/>
      <c r="IV217" s="114"/>
      <c r="IW217" s="114"/>
      <c r="IX217" s="114"/>
      <c r="IY217" s="114"/>
      <c r="IZ217" s="114"/>
      <c r="JA217" s="114"/>
      <c r="JB217" s="114"/>
      <c r="JC217" s="114"/>
      <c r="JD217" s="114"/>
      <c r="JE217" s="114"/>
      <c r="JF217" s="114"/>
      <c r="JG217" s="114"/>
      <c r="JH217" s="114"/>
      <c r="JI217" s="114"/>
      <c r="JJ217" s="114"/>
      <c r="JK217" s="114"/>
      <c r="JL217" s="114"/>
      <c r="JM217" s="114"/>
      <c r="JN217" s="114"/>
      <c r="JO217" s="114"/>
      <c r="JP217" s="114"/>
      <c r="JQ217" s="114"/>
      <c r="JR217" s="114"/>
      <c r="JS217" s="114"/>
      <c r="JT217" s="114"/>
      <c r="JU217" s="114"/>
      <c r="JV217" s="114"/>
      <c r="JW217" s="114"/>
      <c r="JX217" s="114"/>
      <c r="JY217" s="114"/>
      <c r="JZ217" s="114"/>
      <c r="KA217" s="114"/>
      <c r="KB217" s="114"/>
      <c r="KC217" s="114"/>
      <c r="KD217" s="114"/>
      <c r="KE217" s="114"/>
      <c r="KF217" s="114"/>
      <c r="KG217" s="114"/>
      <c r="KH217" s="114"/>
      <c r="KI217" s="114"/>
      <c r="KJ217" s="114"/>
      <c r="KK217" s="114"/>
      <c r="KL217" s="114"/>
      <c r="KM217" s="114"/>
      <c r="KN217" s="114"/>
      <c r="KO217" s="114"/>
      <c r="KP217" s="114"/>
      <c r="KQ217" s="114"/>
      <c r="KR217" s="114"/>
      <c r="KS217" s="114"/>
      <c r="KT217" s="114"/>
    </row>
    <row r="218" spans="1:306" s="47" customFormat="1" ht="13.8" x14ac:dyDescent="0.3">
      <c r="A218" s="55" t="s">
        <v>111</v>
      </c>
      <c r="B218" s="5" t="s">
        <v>83</v>
      </c>
      <c r="C218" s="226"/>
      <c r="E218" s="85"/>
      <c r="AG218" s="85"/>
      <c r="AH218" s="85"/>
      <c r="AI218" s="85"/>
    </row>
    <row r="219" spans="1:306" s="47" customFormat="1" ht="13.8" x14ac:dyDescent="0.3">
      <c r="B219" s="61"/>
      <c r="E219" s="85"/>
      <c r="AG219" s="85"/>
      <c r="AH219" s="85"/>
      <c r="AI219" s="85"/>
    </row>
    <row r="220" spans="1:306" s="47" customFormat="1" ht="13.8" x14ac:dyDescent="0.3">
      <c r="A220" s="93" t="s">
        <v>471</v>
      </c>
      <c r="B220" s="94"/>
      <c r="C220" s="93"/>
      <c r="E220" s="461" t="s">
        <v>210</v>
      </c>
      <c r="F220" s="394"/>
      <c r="G220" s="394"/>
      <c r="H220" s="394"/>
      <c r="I220" s="39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c r="BT220" s="114"/>
      <c r="BU220" s="114"/>
      <c r="BV220" s="114"/>
      <c r="BW220" s="114"/>
      <c r="BX220" s="114"/>
      <c r="BY220" s="114"/>
      <c r="BZ220" s="114"/>
      <c r="CA220" s="114"/>
      <c r="CB220" s="114"/>
      <c r="CC220" s="114"/>
      <c r="CD220" s="114"/>
      <c r="CE220" s="114"/>
      <c r="CF220" s="114"/>
      <c r="CG220" s="114"/>
      <c r="CH220" s="114"/>
      <c r="CI220" s="114"/>
      <c r="CJ220" s="114"/>
      <c r="CK220" s="114"/>
      <c r="CL220" s="114"/>
      <c r="CM220" s="114"/>
      <c r="CN220" s="114"/>
      <c r="CO220" s="114"/>
      <c r="CP220" s="114"/>
      <c r="CQ220" s="114"/>
      <c r="CR220" s="114"/>
      <c r="CS220" s="114"/>
      <c r="CT220" s="114"/>
      <c r="CU220" s="114"/>
      <c r="CV220" s="114"/>
      <c r="CW220" s="114"/>
      <c r="CX220" s="114"/>
      <c r="CY220" s="114"/>
      <c r="CZ220" s="114"/>
      <c r="DA220" s="114"/>
      <c r="DB220" s="114"/>
      <c r="DC220" s="114"/>
      <c r="DD220" s="114"/>
      <c r="DE220" s="114"/>
      <c r="DF220" s="114"/>
      <c r="DG220" s="114"/>
      <c r="DH220" s="114"/>
      <c r="DI220" s="114"/>
      <c r="DJ220" s="114"/>
      <c r="DK220" s="114"/>
      <c r="DL220" s="114"/>
      <c r="DM220" s="114"/>
      <c r="DN220" s="114"/>
      <c r="DO220" s="114"/>
      <c r="DP220" s="114"/>
      <c r="DQ220" s="114"/>
      <c r="DR220" s="114"/>
      <c r="DS220" s="114"/>
      <c r="DT220" s="114"/>
      <c r="DU220" s="114"/>
      <c r="DV220" s="114"/>
      <c r="DW220" s="114"/>
      <c r="DX220" s="114"/>
      <c r="DY220" s="114"/>
      <c r="DZ220" s="114"/>
      <c r="EA220" s="114"/>
      <c r="EB220" s="114"/>
      <c r="EC220" s="114"/>
      <c r="ED220" s="114"/>
      <c r="EE220" s="114"/>
      <c r="EF220" s="114"/>
      <c r="EG220" s="114"/>
      <c r="EH220" s="114"/>
      <c r="EI220" s="114"/>
      <c r="EJ220" s="114"/>
      <c r="EK220" s="114"/>
      <c r="EL220" s="114"/>
      <c r="EM220" s="114"/>
      <c r="EN220" s="114"/>
      <c r="EO220" s="114"/>
      <c r="EP220" s="114"/>
      <c r="EQ220" s="114"/>
      <c r="ER220" s="114"/>
      <c r="ES220" s="114"/>
      <c r="ET220" s="114"/>
      <c r="EU220" s="114"/>
      <c r="EV220" s="114"/>
      <c r="EW220" s="114"/>
      <c r="EX220" s="114"/>
      <c r="EY220" s="114"/>
      <c r="EZ220" s="114"/>
      <c r="FA220" s="114"/>
      <c r="FB220" s="114"/>
      <c r="FC220" s="114"/>
      <c r="FD220" s="114"/>
      <c r="FE220" s="114"/>
      <c r="FF220" s="114"/>
      <c r="FG220" s="114"/>
      <c r="FH220" s="114"/>
      <c r="FI220" s="114"/>
      <c r="FJ220" s="114"/>
      <c r="FK220" s="114"/>
      <c r="FL220" s="114"/>
      <c r="FM220" s="114"/>
      <c r="FN220" s="114"/>
      <c r="FO220" s="114"/>
      <c r="FP220" s="114"/>
      <c r="FQ220" s="114"/>
      <c r="FR220" s="114"/>
      <c r="FS220" s="114"/>
      <c r="FT220" s="114"/>
      <c r="FU220" s="114"/>
      <c r="FV220" s="114"/>
      <c r="FW220" s="114"/>
      <c r="FX220" s="114"/>
      <c r="FY220" s="114"/>
      <c r="FZ220" s="114"/>
      <c r="GA220" s="114"/>
      <c r="GB220" s="114"/>
      <c r="GC220" s="114"/>
      <c r="GD220" s="114"/>
      <c r="GE220" s="114"/>
      <c r="GF220" s="114"/>
      <c r="GG220" s="114"/>
      <c r="GH220" s="114"/>
      <c r="GI220" s="114"/>
      <c r="GJ220" s="114"/>
      <c r="GK220" s="114"/>
      <c r="GL220" s="114"/>
      <c r="GM220" s="114"/>
      <c r="GN220" s="114"/>
      <c r="GO220" s="114"/>
      <c r="GP220" s="114"/>
      <c r="GQ220" s="114"/>
      <c r="GR220" s="114"/>
      <c r="GS220" s="114"/>
      <c r="GT220" s="114"/>
      <c r="GU220" s="114"/>
      <c r="GV220" s="114"/>
      <c r="GW220" s="114"/>
      <c r="GX220" s="114"/>
      <c r="GY220" s="114"/>
      <c r="GZ220" s="114"/>
      <c r="HA220" s="114"/>
      <c r="HB220" s="114"/>
      <c r="HC220" s="114"/>
      <c r="HD220" s="114"/>
      <c r="HE220" s="114"/>
      <c r="HF220" s="114"/>
      <c r="HG220" s="114"/>
      <c r="HH220" s="114"/>
      <c r="HI220" s="114"/>
      <c r="HJ220" s="114"/>
      <c r="HK220" s="114"/>
      <c r="HL220" s="114"/>
      <c r="HM220" s="114"/>
      <c r="HN220" s="114"/>
      <c r="HO220" s="114"/>
      <c r="HP220" s="114"/>
      <c r="HQ220" s="114"/>
      <c r="HR220" s="114"/>
      <c r="HS220" s="114"/>
      <c r="HT220" s="114"/>
      <c r="HU220" s="114"/>
      <c r="HV220" s="114"/>
      <c r="HW220" s="114"/>
      <c r="HX220" s="114"/>
      <c r="HY220" s="114"/>
      <c r="HZ220" s="114"/>
      <c r="IA220" s="114"/>
      <c r="IB220" s="114"/>
      <c r="IC220" s="114"/>
      <c r="ID220" s="114"/>
      <c r="IE220" s="114"/>
      <c r="IF220" s="114"/>
      <c r="IG220" s="114"/>
      <c r="IH220" s="114"/>
      <c r="II220" s="114"/>
      <c r="IJ220" s="114"/>
      <c r="IK220" s="114"/>
      <c r="IL220" s="114"/>
      <c r="IM220" s="114"/>
      <c r="IN220" s="114"/>
      <c r="IO220" s="114"/>
      <c r="IP220" s="114"/>
      <c r="IQ220" s="114"/>
      <c r="IR220" s="114"/>
      <c r="IS220" s="114"/>
      <c r="IT220" s="114"/>
      <c r="IU220" s="114"/>
      <c r="IV220" s="114"/>
      <c r="IW220" s="114"/>
      <c r="IX220" s="114"/>
      <c r="IY220" s="114"/>
      <c r="IZ220" s="114"/>
      <c r="JA220" s="114"/>
      <c r="JB220" s="114"/>
      <c r="JC220" s="114"/>
      <c r="JD220" s="114"/>
      <c r="JE220" s="114"/>
      <c r="JF220" s="114"/>
      <c r="JG220" s="114"/>
      <c r="JH220" s="114"/>
      <c r="JI220" s="114"/>
      <c r="JJ220" s="114"/>
      <c r="JK220" s="114"/>
      <c r="JL220" s="114"/>
      <c r="JM220" s="114"/>
      <c r="JN220" s="114"/>
      <c r="JO220" s="114"/>
      <c r="JP220" s="114"/>
      <c r="JQ220" s="114"/>
      <c r="JR220" s="114"/>
      <c r="JS220" s="114"/>
      <c r="JT220" s="114"/>
      <c r="JU220" s="114"/>
      <c r="JV220" s="114"/>
      <c r="JW220" s="114"/>
      <c r="JX220" s="114"/>
      <c r="JY220" s="114"/>
      <c r="JZ220" s="114"/>
      <c r="KA220" s="114"/>
      <c r="KB220" s="114"/>
      <c r="KC220" s="114"/>
      <c r="KD220" s="114"/>
      <c r="KE220" s="114"/>
      <c r="KF220" s="114"/>
      <c r="KG220" s="114"/>
      <c r="KH220" s="114"/>
      <c r="KI220" s="114"/>
      <c r="KJ220" s="114"/>
      <c r="KK220" s="114"/>
      <c r="KL220" s="114"/>
      <c r="KM220" s="114"/>
      <c r="KN220" s="114"/>
      <c r="KO220" s="114"/>
      <c r="KP220" s="114"/>
      <c r="KQ220" s="114"/>
      <c r="KR220" s="114"/>
      <c r="KS220" s="114"/>
      <c r="KT220" s="114"/>
    </row>
    <row r="221" spans="1:306" s="47" customFormat="1" ht="13.8" x14ac:dyDescent="0.3">
      <c r="A221" s="64"/>
      <c r="B221" s="115" t="s">
        <v>193</v>
      </c>
      <c r="C221" s="112" t="s">
        <v>122</v>
      </c>
      <c r="E221" s="459" t="s">
        <v>212</v>
      </c>
      <c r="F221" s="459" t="s">
        <v>213</v>
      </c>
      <c r="G221" s="460" t="s">
        <v>214</v>
      </c>
      <c r="H221" s="460" t="s">
        <v>215</v>
      </c>
      <c r="I221" s="460" t="s">
        <v>216</v>
      </c>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c r="AT221" s="114"/>
      <c r="AU221" s="114"/>
      <c r="AV221" s="114"/>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c r="BT221" s="114"/>
      <c r="BU221" s="114"/>
      <c r="BV221" s="114"/>
      <c r="BW221" s="114"/>
      <c r="BX221" s="114"/>
      <c r="BY221" s="114"/>
      <c r="BZ221" s="114"/>
      <c r="CA221" s="114"/>
      <c r="CB221" s="114"/>
      <c r="CC221" s="114"/>
      <c r="CD221" s="114"/>
      <c r="CE221" s="114"/>
      <c r="CF221" s="114"/>
      <c r="CG221" s="114"/>
      <c r="CH221" s="114"/>
      <c r="CI221" s="114"/>
      <c r="CJ221" s="114"/>
      <c r="CK221" s="114"/>
      <c r="CL221" s="114"/>
      <c r="CM221" s="114"/>
      <c r="CN221" s="114"/>
      <c r="CO221" s="114"/>
      <c r="CP221" s="114"/>
      <c r="CQ221" s="114"/>
      <c r="CR221" s="114"/>
      <c r="CS221" s="114"/>
      <c r="CT221" s="114"/>
      <c r="CU221" s="114"/>
      <c r="CV221" s="114"/>
      <c r="CW221" s="114"/>
      <c r="CX221" s="114"/>
      <c r="CY221" s="114"/>
      <c r="CZ221" s="114"/>
      <c r="DA221" s="114"/>
      <c r="DB221" s="114"/>
      <c r="DC221" s="114"/>
      <c r="DD221" s="114"/>
      <c r="DE221" s="114"/>
      <c r="DF221" s="114"/>
      <c r="DG221" s="114"/>
      <c r="DH221" s="114"/>
      <c r="DI221" s="114"/>
      <c r="DJ221" s="114"/>
      <c r="DK221" s="114"/>
      <c r="DL221" s="114"/>
      <c r="DM221" s="114"/>
      <c r="DN221" s="114"/>
      <c r="DO221" s="114"/>
      <c r="DP221" s="114"/>
      <c r="DQ221" s="114"/>
      <c r="DR221" s="114"/>
      <c r="DS221" s="114"/>
      <c r="DT221" s="114"/>
      <c r="DU221" s="114"/>
      <c r="DV221" s="114"/>
      <c r="DW221" s="114"/>
      <c r="DX221" s="114"/>
      <c r="DY221" s="114"/>
      <c r="DZ221" s="114"/>
      <c r="EA221" s="114"/>
      <c r="EB221" s="114"/>
      <c r="EC221" s="114"/>
      <c r="ED221" s="114"/>
      <c r="EE221" s="114"/>
      <c r="EF221" s="114"/>
      <c r="EG221" s="114"/>
      <c r="EH221" s="114"/>
      <c r="EI221" s="114"/>
      <c r="EJ221" s="114"/>
      <c r="EK221" s="114"/>
      <c r="EL221" s="114"/>
      <c r="EM221" s="114"/>
      <c r="EN221" s="114"/>
      <c r="EO221" s="114"/>
      <c r="EP221" s="114"/>
      <c r="EQ221" s="114"/>
      <c r="ER221" s="114"/>
      <c r="ES221" s="114"/>
      <c r="ET221" s="114"/>
      <c r="EU221" s="114"/>
      <c r="EV221" s="114"/>
      <c r="EW221" s="114"/>
      <c r="EX221" s="114"/>
      <c r="EY221" s="114"/>
      <c r="EZ221" s="114"/>
      <c r="FA221" s="114"/>
      <c r="FB221" s="114"/>
      <c r="FC221" s="114"/>
      <c r="FD221" s="114"/>
      <c r="FE221" s="114"/>
      <c r="FF221" s="114"/>
      <c r="FG221" s="114"/>
      <c r="FH221" s="114"/>
      <c r="FI221" s="114"/>
      <c r="FJ221" s="114"/>
      <c r="FK221" s="114"/>
      <c r="FL221" s="114"/>
      <c r="FM221" s="114"/>
      <c r="FN221" s="114"/>
      <c r="FO221" s="114"/>
      <c r="FP221" s="114"/>
      <c r="FQ221" s="114"/>
      <c r="FR221" s="114"/>
      <c r="FS221" s="114"/>
      <c r="FT221" s="114"/>
      <c r="FU221" s="114"/>
      <c r="FV221" s="114"/>
      <c r="FW221" s="114"/>
      <c r="FX221" s="114"/>
      <c r="FY221" s="114"/>
      <c r="FZ221" s="114"/>
      <c r="GA221" s="114"/>
      <c r="GB221" s="114"/>
      <c r="GC221" s="114"/>
      <c r="GD221" s="114"/>
      <c r="GE221" s="114"/>
      <c r="GF221" s="114"/>
      <c r="GG221" s="114"/>
      <c r="GH221" s="114"/>
      <c r="GI221" s="114"/>
      <c r="GJ221" s="114"/>
      <c r="GK221" s="114"/>
      <c r="GL221" s="114"/>
      <c r="GM221" s="114"/>
      <c r="GN221" s="114"/>
      <c r="GO221" s="114"/>
      <c r="GP221" s="114"/>
      <c r="GQ221" s="114"/>
      <c r="GR221" s="114"/>
      <c r="GS221" s="114"/>
      <c r="GT221" s="114"/>
      <c r="GU221" s="114"/>
      <c r="GV221" s="114"/>
      <c r="GW221" s="114"/>
      <c r="GX221" s="114"/>
      <c r="GY221" s="114"/>
      <c r="GZ221" s="114"/>
      <c r="HA221" s="114"/>
      <c r="HB221" s="114"/>
      <c r="HC221" s="114"/>
      <c r="HD221" s="114"/>
      <c r="HE221" s="114"/>
      <c r="HF221" s="114"/>
      <c r="HG221" s="114"/>
      <c r="HH221" s="114"/>
      <c r="HI221" s="114"/>
      <c r="HJ221" s="114"/>
      <c r="HK221" s="114"/>
      <c r="HL221" s="114"/>
      <c r="HM221" s="114"/>
      <c r="HN221" s="114"/>
      <c r="HO221" s="114"/>
      <c r="HP221" s="114"/>
      <c r="HQ221" s="114"/>
      <c r="HR221" s="114"/>
      <c r="HS221" s="114"/>
      <c r="HT221" s="114"/>
      <c r="HU221" s="114"/>
      <c r="HV221" s="114"/>
      <c r="HW221" s="114"/>
      <c r="HX221" s="114"/>
      <c r="HY221" s="114"/>
      <c r="HZ221" s="114"/>
      <c r="IA221" s="114"/>
      <c r="IB221" s="114"/>
      <c r="IC221" s="114"/>
      <c r="ID221" s="114"/>
      <c r="IE221" s="114"/>
      <c r="IF221" s="114"/>
      <c r="IG221" s="114"/>
      <c r="IH221" s="114"/>
      <c r="II221" s="114"/>
      <c r="IJ221" s="114"/>
      <c r="IK221" s="114"/>
      <c r="IL221" s="114"/>
      <c r="IM221" s="114"/>
      <c r="IN221" s="114"/>
      <c r="IO221" s="114"/>
      <c r="IP221" s="114"/>
      <c r="IQ221" s="114"/>
      <c r="IR221" s="114"/>
      <c r="IS221" s="114"/>
      <c r="IT221" s="114"/>
      <c r="IU221" s="114"/>
      <c r="IV221" s="114"/>
      <c r="IW221" s="114"/>
      <c r="IX221" s="114"/>
      <c r="IY221" s="114"/>
      <c r="IZ221" s="114"/>
      <c r="JA221" s="114"/>
      <c r="JB221" s="114"/>
      <c r="JC221" s="114"/>
      <c r="JD221" s="114"/>
      <c r="JE221" s="114"/>
      <c r="JF221" s="114"/>
      <c r="JG221" s="114"/>
      <c r="JH221" s="114"/>
      <c r="JI221" s="114"/>
      <c r="JJ221" s="114"/>
      <c r="JK221" s="114"/>
      <c r="JL221" s="114"/>
      <c r="JM221" s="114"/>
      <c r="JN221" s="114"/>
      <c r="JO221" s="114"/>
      <c r="JP221" s="114"/>
      <c r="JQ221" s="114"/>
      <c r="JR221" s="114"/>
      <c r="JS221" s="114"/>
      <c r="JT221" s="114"/>
      <c r="JU221" s="114"/>
      <c r="JV221" s="114"/>
      <c r="JW221" s="114"/>
      <c r="JX221" s="114"/>
      <c r="JY221" s="114"/>
      <c r="JZ221" s="114"/>
      <c r="KA221" s="114"/>
      <c r="KB221" s="114"/>
      <c r="KC221" s="114"/>
      <c r="KD221" s="114"/>
      <c r="KE221" s="114"/>
      <c r="KF221" s="114"/>
      <c r="KG221" s="114"/>
      <c r="KH221" s="114"/>
      <c r="KI221" s="114"/>
      <c r="KJ221" s="114"/>
      <c r="KK221" s="114"/>
      <c r="KL221" s="114"/>
      <c r="KM221" s="114"/>
      <c r="KN221" s="114"/>
      <c r="KO221" s="114"/>
      <c r="KP221" s="114"/>
      <c r="KQ221" s="114"/>
      <c r="KR221" s="114"/>
      <c r="KS221" s="114"/>
      <c r="KT221" s="114"/>
    </row>
    <row r="222" spans="1:306" s="47" customFormat="1" thickBot="1" x14ac:dyDescent="0.35">
      <c r="A222" s="79" t="s">
        <v>485</v>
      </c>
      <c r="B222" s="221" t="s">
        <v>486</v>
      </c>
      <c r="C222" s="223" t="e">
        <f>Inputs!C173/C216</f>
        <v>#DIV/0!</v>
      </c>
      <c r="E222" s="456" t="e">
        <f>Inputs!C173/C224</f>
        <v>#DIV/0!</v>
      </c>
      <c r="F222" s="456" t="e">
        <f>Inputs!C173/C224</f>
        <v>#DIV/0!</v>
      </c>
      <c r="G222" s="456" t="e">
        <f>Inputs!C173/C224</f>
        <v>#DIV/0!</v>
      </c>
      <c r="H222" s="456" t="e">
        <f>Inputs!C173/C224</f>
        <v>#DIV/0!</v>
      </c>
      <c r="I222" s="456" t="e">
        <f>Inputs!C173/C224</f>
        <v>#DIV/0!</v>
      </c>
      <c r="L222" s="116"/>
      <c r="M222" s="116"/>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c r="BT222" s="114"/>
      <c r="BU222" s="114"/>
      <c r="BV222" s="114"/>
      <c r="BW222" s="114"/>
      <c r="BX222" s="114"/>
      <c r="BY222" s="114"/>
      <c r="BZ222" s="114"/>
      <c r="CA222" s="114"/>
      <c r="CB222" s="114"/>
      <c r="CC222" s="114"/>
      <c r="CD222" s="114"/>
      <c r="CE222" s="114"/>
      <c r="CF222" s="114"/>
      <c r="CG222" s="114"/>
      <c r="CH222" s="114"/>
      <c r="CI222" s="114"/>
      <c r="CJ222" s="114"/>
      <c r="CK222" s="114"/>
      <c r="CL222" s="114"/>
      <c r="CM222" s="114"/>
      <c r="CN222" s="114"/>
      <c r="CO222" s="114"/>
      <c r="CP222" s="114"/>
      <c r="CQ222" s="114"/>
      <c r="CR222" s="114"/>
      <c r="CS222" s="114"/>
      <c r="CT222" s="114"/>
      <c r="CU222" s="114"/>
      <c r="CV222" s="114"/>
      <c r="CW222" s="114"/>
      <c r="CX222" s="114"/>
      <c r="CY222" s="114"/>
      <c r="CZ222" s="114"/>
      <c r="DA222" s="114"/>
      <c r="DB222" s="114"/>
      <c r="DC222" s="114"/>
      <c r="DD222" s="114"/>
      <c r="DE222" s="114"/>
      <c r="DF222" s="114"/>
      <c r="DG222" s="114"/>
      <c r="DH222" s="114"/>
      <c r="DI222" s="114"/>
      <c r="DJ222" s="114"/>
      <c r="DK222" s="114"/>
      <c r="DL222" s="114"/>
      <c r="DM222" s="114"/>
      <c r="DN222" s="114"/>
      <c r="DO222" s="114"/>
      <c r="DP222" s="114"/>
      <c r="DQ222" s="114"/>
      <c r="DR222" s="114"/>
      <c r="DS222" s="114"/>
      <c r="DT222" s="114"/>
      <c r="DU222" s="114"/>
      <c r="DV222" s="114"/>
      <c r="DW222" s="114"/>
      <c r="DX222" s="114"/>
      <c r="DY222" s="114"/>
      <c r="DZ222" s="114"/>
      <c r="EA222" s="114"/>
      <c r="EB222" s="114"/>
      <c r="EC222" s="114"/>
      <c r="ED222" s="114"/>
      <c r="EE222" s="114"/>
      <c r="EF222" s="114"/>
      <c r="EG222" s="114"/>
      <c r="EH222" s="114"/>
      <c r="EI222" s="114"/>
      <c r="EJ222" s="114"/>
      <c r="EK222" s="114"/>
      <c r="EL222" s="114"/>
      <c r="EM222" s="114"/>
      <c r="EN222" s="114"/>
      <c r="EO222" s="114"/>
      <c r="EP222" s="114"/>
      <c r="EQ222" s="114"/>
      <c r="ER222" s="114"/>
      <c r="ES222" s="114"/>
      <c r="ET222" s="114"/>
      <c r="EU222" s="114"/>
      <c r="EV222" s="114"/>
      <c r="EW222" s="114"/>
      <c r="EX222" s="114"/>
      <c r="EY222" s="114"/>
      <c r="EZ222" s="114"/>
      <c r="FA222" s="114"/>
      <c r="FB222" s="114"/>
      <c r="FC222" s="114"/>
      <c r="FD222" s="114"/>
      <c r="FE222" s="114"/>
      <c r="FF222" s="114"/>
      <c r="FG222" s="114"/>
      <c r="FH222" s="114"/>
      <c r="FI222" s="114"/>
      <c r="FJ222" s="114"/>
      <c r="FK222" s="114"/>
      <c r="FL222" s="114"/>
      <c r="FM222" s="114"/>
      <c r="FN222" s="114"/>
      <c r="FO222" s="114"/>
      <c r="FP222" s="114"/>
      <c r="FQ222" s="114"/>
      <c r="FR222" s="114"/>
      <c r="FS222" s="114"/>
      <c r="FT222" s="114"/>
      <c r="FU222" s="114"/>
      <c r="FV222" s="114"/>
      <c r="FW222" s="114"/>
      <c r="FX222" s="114"/>
      <c r="FY222" s="114"/>
      <c r="FZ222" s="114"/>
      <c r="GA222" s="114"/>
      <c r="GB222" s="114"/>
      <c r="GC222" s="114"/>
      <c r="GD222" s="114"/>
      <c r="GE222" s="114"/>
      <c r="GF222" s="114"/>
      <c r="GG222" s="114"/>
      <c r="GH222" s="114"/>
      <c r="GI222" s="114"/>
      <c r="GJ222" s="114"/>
      <c r="GK222" s="114"/>
      <c r="GL222" s="114"/>
      <c r="GM222" s="114"/>
      <c r="GN222" s="114"/>
      <c r="GO222" s="114"/>
      <c r="GP222" s="114"/>
      <c r="GQ222" s="114"/>
      <c r="GR222" s="114"/>
      <c r="GS222" s="114"/>
      <c r="GT222" s="114"/>
      <c r="GU222" s="114"/>
      <c r="GV222" s="114"/>
      <c r="GW222" s="114"/>
      <c r="GX222" s="114"/>
      <c r="GY222" s="114"/>
      <c r="GZ222" s="114"/>
      <c r="HA222" s="114"/>
      <c r="HB222" s="114"/>
      <c r="HC222" s="114"/>
      <c r="HD222" s="114"/>
      <c r="HE222" s="114"/>
      <c r="HF222" s="114"/>
      <c r="HG222" s="114"/>
      <c r="HH222" s="114"/>
      <c r="HI222" s="114"/>
      <c r="HJ222" s="114"/>
      <c r="HK222" s="114"/>
      <c r="HL222" s="114"/>
      <c r="HM222" s="114"/>
      <c r="HN222" s="114"/>
      <c r="HO222" s="114"/>
      <c r="HP222" s="114"/>
      <c r="HQ222" s="114"/>
      <c r="HR222" s="114"/>
      <c r="HS222" s="114"/>
      <c r="HT222" s="114"/>
      <c r="HU222" s="114"/>
      <c r="HV222" s="114"/>
      <c r="HW222" s="114"/>
      <c r="HX222" s="114"/>
      <c r="HY222" s="114"/>
      <c r="HZ222" s="114"/>
      <c r="IA222" s="114"/>
      <c r="IB222" s="114"/>
      <c r="IC222" s="114"/>
      <c r="ID222" s="114"/>
      <c r="IE222" s="114"/>
      <c r="IF222" s="114"/>
      <c r="IG222" s="114"/>
      <c r="IH222" s="114"/>
      <c r="II222" s="114"/>
      <c r="IJ222" s="114"/>
      <c r="IK222" s="114"/>
      <c r="IL222" s="114"/>
      <c r="IM222" s="114"/>
      <c r="IN222" s="114"/>
      <c r="IO222" s="114"/>
      <c r="IP222" s="114"/>
      <c r="IQ222" s="114"/>
      <c r="IR222" s="114"/>
      <c r="IS222" s="114"/>
      <c r="IT222" s="114"/>
      <c r="IU222" s="114"/>
      <c r="IV222" s="114"/>
      <c r="IW222" s="114"/>
      <c r="IX222" s="114"/>
      <c r="IY222" s="114"/>
      <c r="IZ222" s="114"/>
      <c r="JA222" s="114"/>
      <c r="JB222" s="114"/>
      <c r="JC222" s="114"/>
      <c r="JD222" s="114"/>
      <c r="JE222" s="114"/>
      <c r="JF222" s="114"/>
      <c r="JG222" s="114"/>
      <c r="JH222" s="114"/>
      <c r="JI222" s="114"/>
      <c r="JJ222" s="114"/>
      <c r="JK222" s="114"/>
      <c r="JL222" s="114"/>
      <c r="JM222" s="114"/>
      <c r="JN222" s="114"/>
      <c r="JO222" s="114"/>
      <c r="JP222" s="114"/>
      <c r="JQ222" s="114"/>
      <c r="JR222" s="114"/>
      <c r="JS222" s="114"/>
      <c r="JT222" s="114"/>
      <c r="JU222" s="114"/>
      <c r="JV222" s="114"/>
      <c r="JW222" s="114"/>
      <c r="JX222" s="114"/>
      <c r="JY222" s="114"/>
      <c r="JZ222" s="114"/>
      <c r="KA222" s="114"/>
      <c r="KB222" s="114"/>
      <c r="KC222" s="114"/>
      <c r="KD222" s="114"/>
      <c r="KE222" s="114"/>
      <c r="KF222" s="114"/>
      <c r="KG222" s="114"/>
      <c r="KH222" s="114"/>
      <c r="KI222" s="114"/>
      <c r="KJ222" s="114"/>
      <c r="KK222" s="114"/>
      <c r="KL222" s="114"/>
      <c r="KM222" s="114"/>
      <c r="KN222" s="114"/>
      <c r="KO222" s="114"/>
      <c r="KP222" s="114"/>
      <c r="KQ222" s="114"/>
      <c r="KR222" s="114"/>
      <c r="KS222" s="114"/>
      <c r="KT222" s="114"/>
    </row>
    <row r="223" spans="1:306" s="47" customFormat="1" ht="15" thickTop="1" thickBot="1" x14ac:dyDescent="0.35">
      <c r="A223" s="79" t="str">
        <f>Inputs!A217</f>
        <v>FX Rate expected at end of tariff control period</v>
      </c>
      <c r="B223" s="208" t="str">
        <f>C20</f>
        <v>NGN</v>
      </c>
      <c r="C223" s="145">
        <f>Inputs!C217</f>
        <v>0</v>
      </c>
      <c r="E223" s="457">
        <f>E224*(1+$C$215)</f>
        <v>0</v>
      </c>
      <c r="F223" s="457">
        <f>F224*(1+$C$215)</f>
        <v>0</v>
      </c>
      <c r="G223" s="457">
        <f>G224*(1+$C$215)</f>
        <v>0</v>
      </c>
      <c r="H223" s="457">
        <f>H224*(1+$C$215)</f>
        <v>0</v>
      </c>
      <c r="I223" s="457">
        <f>I224*(1+$C$215)</f>
        <v>0</v>
      </c>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c r="BT223" s="114"/>
      <c r="BU223" s="114"/>
      <c r="BV223" s="114"/>
      <c r="BW223" s="114"/>
      <c r="BX223" s="114"/>
      <c r="BY223" s="114"/>
      <c r="BZ223" s="114"/>
      <c r="CA223" s="114"/>
      <c r="CB223" s="114"/>
      <c r="CC223" s="114"/>
      <c r="CD223" s="114"/>
      <c r="CE223" s="114"/>
      <c r="CF223" s="114"/>
      <c r="CG223" s="114"/>
      <c r="CH223" s="114"/>
      <c r="CI223" s="114"/>
      <c r="CJ223" s="114"/>
      <c r="CK223" s="114"/>
      <c r="CL223" s="114"/>
      <c r="CM223" s="114"/>
      <c r="CN223" s="114"/>
      <c r="CO223" s="114"/>
      <c r="CP223" s="114"/>
      <c r="CQ223" s="114"/>
      <c r="CR223" s="114"/>
      <c r="CS223" s="114"/>
      <c r="CT223" s="114"/>
      <c r="CU223" s="114"/>
      <c r="CV223" s="114"/>
      <c r="CW223" s="114"/>
      <c r="CX223" s="114"/>
      <c r="CY223" s="114"/>
      <c r="CZ223" s="114"/>
      <c r="DA223" s="114"/>
      <c r="DB223" s="114"/>
      <c r="DC223" s="114"/>
      <c r="DD223" s="114"/>
      <c r="DE223" s="114"/>
      <c r="DF223" s="114"/>
      <c r="DG223" s="114"/>
      <c r="DH223" s="114"/>
      <c r="DI223" s="114"/>
      <c r="DJ223" s="114"/>
      <c r="DK223" s="114"/>
      <c r="DL223" s="114"/>
      <c r="DM223" s="114"/>
      <c r="DN223" s="114"/>
      <c r="DO223" s="114"/>
      <c r="DP223" s="114"/>
      <c r="DQ223" s="114"/>
      <c r="DR223" s="114"/>
      <c r="DS223" s="114"/>
      <c r="DT223" s="114"/>
      <c r="DU223" s="114"/>
      <c r="DV223" s="114"/>
      <c r="DW223" s="114"/>
      <c r="DX223" s="114"/>
      <c r="DY223" s="114"/>
      <c r="DZ223" s="114"/>
      <c r="EA223" s="114"/>
      <c r="EB223" s="114"/>
      <c r="EC223" s="114"/>
      <c r="ED223" s="114"/>
      <c r="EE223" s="114"/>
      <c r="EF223" s="114"/>
      <c r="EG223" s="114"/>
      <c r="EH223" s="114"/>
      <c r="EI223" s="114"/>
      <c r="EJ223" s="114"/>
      <c r="EK223" s="114"/>
      <c r="EL223" s="114"/>
      <c r="EM223" s="114"/>
      <c r="EN223" s="114"/>
      <c r="EO223" s="114"/>
      <c r="EP223" s="114"/>
      <c r="EQ223" s="114"/>
      <c r="ER223" s="114"/>
      <c r="ES223" s="114"/>
      <c r="ET223" s="114"/>
      <c r="EU223" s="114"/>
      <c r="EV223" s="114"/>
      <c r="EW223" s="114"/>
      <c r="EX223" s="114"/>
      <c r="EY223" s="114"/>
      <c r="EZ223" s="114"/>
      <c r="FA223" s="114"/>
      <c r="FB223" s="114"/>
      <c r="FC223" s="114"/>
      <c r="FD223" s="114"/>
      <c r="FE223" s="114"/>
      <c r="FF223" s="114"/>
      <c r="FG223" s="114"/>
      <c r="FH223" s="114"/>
      <c r="FI223" s="114"/>
      <c r="FJ223" s="114"/>
      <c r="FK223" s="114"/>
      <c r="FL223" s="114"/>
      <c r="FM223" s="114"/>
      <c r="FN223" s="114"/>
      <c r="FO223" s="114"/>
      <c r="FP223" s="114"/>
      <c r="FQ223" s="114"/>
      <c r="FR223" s="114"/>
      <c r="FS223" s="114"/>
      <c r="FT223" s="114"/>
      <c r="FU223" s="114"/>
      <c r="FV223" s="114"/>
      <c r="FW223" s="114"/>
      <c r="FX223" s="114"/>
      <c r="FY223" s="114"/>
      <c r="FZ223" s="114"/>
      <c r="GA223" s="114"/>
      <c r="GB223" s="114"/>
      <c r="GC223" s="114"/>
      <c r="GD223" s="114"/>
      <c r="GE223" s="114"/>
      <c r="GF223" s="114"/>
      <c r="GG223" s="114"/>
      <c r="GH223" s="114"/>
      <c r="GI223" s="114"/>
      <c r="GJ223" s="114"/>
      <c r="GK223" s="114"/>
      <c r="GL223" s="114"/>
      <c r="GM223" s="114"/>
      <c r="GN223" s="114"/>
      <c r="GO223" s="114"/>
      <c r="GP223" s="114"/>
      <c r="GQ223" s="114"/>
      <c r="GR223" s="114"/>
      <c r="GS223" s="114"/>
      <c r="GT223" s="114"/>
      <c r="GU223" s="114"/>
      <c r="GV223" s="114"/>
      <c r="GW223" s="114"/>
      <c r="GX223" s="114"/>
      <c r="GY223" s="114"/>
      <c r="GZ223" s="114"/>
      <c r="HA223" s="114"/>
      <c r="HB223" s="114"/>
      <c r="HC223" s="114"/>
      <c r="HD223" s="114"/>
      <c r="HE223" s="114"/>
      <c r="HF223" s="114"/>
      <c r="HG223" s="114"/>
      <c r="HH223" s="114"/>
      <c r="HI223" s="114"/>
      <c r="HJ223" s="114"/>
      <c r="HK223" s="114"/>
      <c r="HL223" s="114"/>
      <c r="HM223" s="114"/>
      <c r="HN223" s="114"/>
      <c r="HO223" s="114"/>
      <c r="HP223" s="114"/>
      <c r="HQ223" s="114"/>
      <c r="HR223" s="114"/>
      <c r="HS223" s="114"/>
      <c r="HT223" s="114"/>
      <c r="HU223" s="114"/>
      <c r="HV223" s="114"/>
      <c r="HW223" s="114"/>
      <c r="HX223" s="114"/>
      <c r="HY223" s="114"/>
      <c r="HZ223" s="114"/>
      <c r="IA223" s="114"/>
      <c r="IB223" s="114"/>
      <c r="IC223" s="114"/>
      <c r="ID223" s="114"/>
      <c r="IE223" s="114"/>
      <c r="IF223" s="114"/>
      <c r="IG223" s="114"/>
      <c r="IH223" s="114"/>
      <c r="II223" s="114"/>
      <c r="IJ223" s="114"/>
      <c r="IK223" s="114"/>
      <c r="IL223" s="114"/>
      <c r="IM223" s="114"/>
      <c r="IN223" s="114"/>
      <c r="IO223" s="114"/>
      <c r="IP223" s="114"/>
      <c r="IQ223" s="114"/>
      <c r="IR223" s="114"/>
      <c r="IS223" s="114"/>
      <c r="IT223" s="114"/>
      <c r="IU223" s="114"/>
      <c r="IV223" s="114"/>
      <c r="IW223" s="114"/>
      <c r="IX223" s="114"/>
      <c r="IY223" s="114"/>
      <c r="IZ223" s="114"/>
      <c r="JA223" s="114"/>
      <c r="JB223" s="114"/>
      <c r="JC223" s="114"/>
      <c r="JD223" s="114"/>
      <c r="JE223" s="114"/>
      <c r="JF223" s="114"/>
      <c r="JG223" s="114"/>
      <c r="JH223" s="114"/>
      <c r="JI223" s="114"/>
      <c r="JJ223" s="114"/>
      <c r="JK223" s="114"/>
      <c r="JL223" s="114"/>
      <c r="JM223" s="114"/>
      <c r="JN223" s="114"/>
      <c r="JO223" s="114"/>
      <c r="JP223" s="114"/>
      <c r="JQ223" s="114"/>
      <c r="JR223" s="114"/>
      <c r="JS223" s="114"/>
      <c r="JT223" s="114"/>
      <c r="JU223" s="114"/>
      <c r="JV223" s="114"/>
      <c r="JW223" s="114"/>
      <c r="JX223" s="114"/>
      <c r="JY223" s="114"/>
      <c r="JZ223" s="114"/>
      <c r="KA223" s="114"/>
      <c r="KB223" s="114"/>
      <c r="KC223" s="114"/>
      <c r="KD223" s="114"/>
      <c r="KE223" s="114"/>
      <c r="KF223" s="114"/>
      <c r="KG223" s="114"/>
      <c r="KH223" s="114"/>
      <c r="KI223" s="114"/>
      <c r="KJ223" s="114"/>
      <c r="KK223" s="114"/>
      <c r="KL223" s="114"/>
      <c r="KM223" s="114"/>
      <c r="KN223" s="114"/>
      <c r="KO223" s="114"/>
      <c r="KP223" s="114"/>
      <c r="KQ223" s="114"/>
      <c r="KR223" s="114"/>
      <c r="KS223" s="114"/>
      <c r="KT223" s="114"/>
    </row>
    <row r="224" spans="1:306" s="47" customFormat="1" ht="15" thickTop="1" thickBot="1" x14ac:dyDescent="0.35">
      <c r="A224" s="79" t="str">
        <f>Inputs!A216</f>
        <v>FX Rate actual/current FX Rate at time of tariff application</v>
      </c>
      <c r="B224" s="208" t="str">
        <f>C20</f>
        <v>NGN</v>
      </c>
      <c r="C224" s="145">
        <f>Inputs!C216</f>
        <v>0</v>
      </c>
      <c r="E224" s="458">
        <f>C216</f>
        <v>0</v>
      </c>
      <c r="F224" s="458">
        <f>E223</f>
        <v>0</v>
      </c>
      <c r="G224" s="458">
        <f t="shared" ref="G224:I224" si="39">F223</f>
        <v>0</v>
      </c>
      <c r="H224" s="458">
        <f>G223</f>
        <v>0</v>
      </c>
      <c r="I224" s="458">
        <f t="shared" si="39"/>
        <v>0</v>
      </c>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c r="BY224" s="114"/>
      <c r="BZ224" s="114"/>
      <c r="CA224" s="114"/>
      <c r="CB224" s="114"/>
      <c r="CC224" s="114"/>
      <c r="CD224" s="114"/>
      <c r="CE224" s="114"/>
      <c r="CF224" s="114"/>
      <c r="CG224" s="114"/>
      <c r="CH224" s="114"/>
      <c r="CI224" s="114"/>
      <c r="CJ224" s="114"/>
      <c r="CK224" s="114"/>
      <c r="CL224" s="114"/>
      <c r="CM224" s="114"/>
      <c r="CN224" s="114"/>
      <c r="CO224" s="114"/>
      <c r="CP224" s="114"/>
      <c r="CQ224" s="114"/>
      <c r="CR224" s="114"/>
      <c r="CS224" s="114"/>
      <c r="CT224" s="114"/>
      <c r="CU224" s="114"/>
      <c r="CV224" s="114"/>
      <c r="CW224" s="114"/>
      <c r="CX224" s="114"/>
      <c r="CY224" s="114"/>
      <c r="CZ224" s="114"/>
      <c r="DA224" s="114"/>
      <c r="DB224" s="114"/>
      <c r="DC224" s="114"/>
      <c r="DD224" s="114"/>
      <c r="DE224" s="114"/>
      <c r="DF224" s="114"/>
      <c r="DG224" s="114"/>
      <c r="DH224" s="114"/>
      <c r="DI224" s="114"/>
      <c r="DJ224" s="114"/>
      <c r="DK224" s="114"/>
      <c r="DL224" s="114"/>
      <c r="DM224" s="114"/>
      <c r="DN224" s="114"/>
      <c r="DO224" s="114"/>
      <c r="DP224" s="114"/>
      <c r="DQ224" s="114"/>
      <c r="DR224" s="114"/>
      <c r="DS224" s="114"/>
      <c r="DT224" s="114"/>
      <c r="DU224" s="114"/>
      <c r="DV224" s="114"/>
      <c r="DW224" s="114"/>
      <c r="DX224" s="114"/>
      <c r="DY224" s="114"/>
      <c r="DZ224" s="114"/>
      <c r="EA224" s="114"/>
      <c r="EB224" s="114"/>
      <c r="EC224" s="114"/>
      <c r="ED224" s="114"/>
      <c r="EE224" s="114"/>
      <c r="EF224" s="114"/>
      <c r="EG224" s="114"/>
      <c r="EH224" s="114"/>
      <c r="EI224" s="114"/>
      <c r="EJ224" s="114"/>
      <c r="EK224" s="114"/>
      <c r="EL224" s="114"/>
      <c r="EM224" s="114"/>
      <c r="EN224" s="114"/>
      <c r="EO224" s="114"/>
      <c r="EP224" s="114"/>
      <c r="EQ224" s="114"/>
      <c r="ER224" s="114"/>
      <c r="ES224" s="114"/>
      <c r="ET224" s="114"/>
      <c r="EU224" s="114"/>
      <c r="EV224" s="114"/>
      <c r="EW224" s="114"/>
      <c r="EX224" s="114"/>
      <c r="EY224" s="114"/>
      <c r="EZ224" s="114"/>
      <c r="FA224" s="114"/>
      <c r="FB224" s="114"/>
      <c r="FC224" s="114"/>
      <c r="FD224" s="114"/>
      <c r="FE224" s="114"/>
      <c r="FF224" s="114"/>
      <c r="FG224" s="114"/>
      <c r="FH224" s="114"/>
      <c r="FI224" s="114"/>
      <c r="FJ224" s="114"/>
      <c r="FK224" s="114"/>
      <c r="FL224" s="114"/>
      <c r="FM224" s="114"/>
      <c r="FN224" s="114"/>
      <c r="FO224" s="114"/>
      <c r="FP224" s="114"/>
      <c r="FQ224" s="114"/>
      <c r="FR224" s="114"/>
      <c r="FS224" s="114"/>
      <c r="FT224" s="114"/>
      <c r="FU224" s="114"/>
      <c r="FV224" s="114"/>
      <c r="FW224" s="114"/>
      <c r="FX224" s="114"/>
      <c r="FY224" s="114"/>
      <c r="FZ224" s="114"/>
      <c r="GA224" s="114"/>
      <c r="GB224" s="114"/>
      <c r="GC224" s="114"/>
      <c r="GD224" s="114"/>
      <c r="GE224" s="114"/>
      <c r="GF224" s="114"/>
      <c r="GG224" s="114"/>
      <c r="GH224" s="114"/>
      <c r="GI224" s="114"/>
      <c r="GJ224" s="114"/>
      <c r="GK224" s="114"/>
      <c r="GL224" s="114"/>
      <c r="GM224" s="114"/>
      <c r="GN224" s="114"/>
      <c r="GO224" s="114"/>
      <c r="GP224" s="114"/>
      <c r="GQ224" s="114"/>
      <c r="GR224" s="114"/>
      <c r="GS224" s="114"/>
      <c r="GT224" s="114"/>
      <c r="GU224" s="114"/>
      <c r="GV224" s="114"/>
      <c r="GW224" s="114"/>
      <c r="GX224" s="114"/>
      <c r="GY224" s="114"/>
      <c r="GZ224" s="114"/>
      <c r="HA224" s="114"/>
      <c r="HB224" s="114"/>
      <c r="HC224" s="114"/>
      <c r="HD224" s="114"/>
      <c r="HE224" s="114"/>
      <c r="HF224" s="114"/>
      <c r="HG224" s="114"/>
      <c r="HH224" s="114"/>
      <c r="HI224" s="114"/>
      <c r="HJ224" s="114"/>
      <c r="HK224" s="114"/>
      <c r="HL224" s="114"/>
      <c r="HM224" s="114"/>
      <c r="HN224" s="114"/>
      <c r="HO224" s="114"/>
      <c r="HP224" s="114"/>
      <c r="HQ224" s="114"/>
      <c r="HR224" s="114"/>
      <c r="HS224" s="114"/>
      <c r="HT224" s="114"/>
      <c r="HU224" s="114"/>
      <c r="HV224" s="114"/>
      <c r="HW224" s="114"/>
      <c r="HX224" s="114"/>
      <c r="HY224" s="114"/>
      <c r="HZ224" s="114"/>
      <c r="IA224" s="114"/>
      <c r="IB224" s="114"/>
      <c r="IC224" s="114"/>
      <c r="ID224" s="114"/>
      <c r="IE224" s="114"/>
      <c r="IF224" s="114"/>
      <c r="IG224" s="114"/>
      <c r="IH224" s="114"/>
      <c r="II224" s="114"/>
      <c r="IJ224" s="114"/>
      <c r="IK224" s="114"/>
      <c r="IL224" s="114"/>
      <c r="IM224" s="114"/>
      <c r="IN224" s="114"/>
      <c r="IO224" s="114"/>
      <c r="IP224" s="114"/>
      <c r="IQ224" s="114"/>
      <c r="IR224" s="114"/>
      <c r="IS224" s="114"/>
      <c r="IT224" s="114"/>
      <c r="IU224" s="114"/>
      <c r="IV224" s="114"/>
      <c r="IW224" s="114"/>
      <c r="IX224" s="114"/>
      <c r="IY224" s="114"/>
      <c r="IZ224" s="114"/>
      <c r="JA224" s="114"/>
      <c r="JB224" s="114"/>
      <c r="JC224" s="114"/>
      <c r="JD224" s="114"/>
      <c r="JE224" s="114"/>
      <c r="JF224" s="114"/>
      <c r="JG224" s="114"/>
      <c r="JH224" s="114"/>
      <c r="JI224" s="114"/>
      <c r="JJ224" s="114"/>
      <c r="JK224" s="114"/>
      <c r="JL224" s="114"/>
      <c r="JM224" s="114"/>
      <c r="JN224" s="114"/>
      <c r="JO224" s="114"/>
      <c r="JP224" s="114"/>
      <c r="JQ224" s="114"/>
      <c r="JR224" s="114"/>
      <c r="JS224" s="114"/>
      <c r="JT224" s="114"/>
      <c r="JU224" s="114"/>
      <c r="JV224" s="114"/>
      <c r="JW224" s="114"/>
      <c r="JX224" s="114"/>
      <c r="JY224" s="114"/>
      <c r="JZ224" s="114"/>
      <c r="KA224" s="114"/>
      <c r="KB224" s="114"/>
      <c r="KC224" s="114"/>
      <c r="KD224" s="114"/>
      <c r="KE224" s="114"/>
      <c r="KF224" s="114"/>
      <c r="KG224" s="114"/>
      <c r="KH224" s="114"/>
      <c r="KI224" s="114"/>
      <c r="KJ224" s="114"/>
      <c r="KK224" s="114"/>
      <c r="KL224" s="114"/>
      <c r="KM224" s="114"/>
      <c r="KN224" s="114"/>
      <c r="KO224" s="114"/>
      <c r="KP224" s="114"/>
      <c r="KQ224" s="114"/>
      <c r="KR224" s="114"/>
      <c r="KS224" s="114"/>
      <c r="KT224" s="114"/>
    </row>
    <row r="225" spans="1:306" s="47" customFormat="1" thickTop="1" x14ac:dyDescent="0.3">
      <c r="A225" s="82" t="s">
        <v>189</v>
      </c>
      <c r="B225" s="192" t="str">
        <f>C20</f>
        <v>NGN</v>
      </c>
      <c r="C225" s="146">
        <f>C223-C224</f>
        <v>0</v>
      </c>
      <c r="E225" s="457">
        <f>E223-E224</f>
        <v>0</v>
      </c>
      <c r="F225" s="457">
        <f t="shared" ref="F225:I225" si="40">F223-F224</f>
        <v>0</v>
      </c>
      <c r="G225" s="457">
        <f t="shared" si="40"/>
        <v>0</v>
      </c>
      <c r="H225" s="457">
        <f t="shared" si="40"/>
        <v>0</v>
      </c>
      <c r="I225" s="457">
        <f t="shared" si="40"/>
        <v>0</v>
      </c>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c r="BY225" s="114"/>
      <c r="BZ225" s="114"/>
      <c r="CA225" s="114"/>
      <c r="CB225" s="114"/>
      <c r="CC225" s="114"/>
      <c r="CD225" s="114"/>
      <c r="CE225" s="114"/>
      <c r="CF225" s="114"/>
      <c r="CG225" s="114"/>
      <c r="CH225" s="114"/>
      <c r="CI225" s="114"/>
      <c r="CJ225" s="114"/>
      <c r="CK225" s="114"/>
      <c r="CL225" s="114"/>
      <c r="CM225" s="114"/>
      <c r="CN225" s="114"/>
      <c r="CO225" s="114"/>
      <c r="CP225" s="114"/>
      <c r="CQ225" s="114"/>
      <c r="CR225" s="114"/>
      <c r="CS225" s="114"/>
      <c r="CT225" s="114"/>
      <c r="CU225" s="114"/>
      <c r="CV225" s="114"/>
      <c r="CW225" s="114"/>
      <c r="CX225" s="114"/>
      <c r="CY225" s="114"/>
      <c r="CZ225" s="114"/>
      <c r="DA225" s="114"/>
      <c r="DB225" s="114"/>
      <c r="DC225" s="114"/>
      <c r="DD225" s="114"/>
      <c r="DE225" s="114"/>
      <c r="DF225" s="114"/>
      <c r="DG225" s="114"/>
      <c r="DH225" s="114"/>
      <c r="DI225" s="114"/>
      <c r="DJ225" s="114"/>
      <c r="DK225" s="114"/>
      <c r="DL225" s="114"/>
      <c r="DM225" s="114"/>
      <c r="DN225" s="114"/>
      <c r="DO225" s="114"/>
      <c r="DP225" s="114"/>
      <c r="DQ225" s="114"/>
      <c r="DR225" s="114"/>
      <c r="DS225" s="114"/>
      <c r="DT225" s="114"/>
      <c r="DU225" s="114"/>
      <c r="DV225" s="114"/>
      <c r="DW225" s="114"/>
      <c r="DX225" s="114"/>
      <c r="DY225" s="114"/>
      <c r="DZ225" s="114"/>
      <c r="EA225" s="114"/>
      <c r="EB225" s="114"/>
      <c r="EC225" s="114"/>
      <c r="ED225" s="114"/>
      <c r="EE225" s="114"/>
      <c r="EF225" s="114"/>
      <c r="EG225" s="114"/>
      <c r="EH225" s="114"/>
      <c r="EI225" s="114"/>
      <c r="EJ225" s="114"/>
      <c r="EK225" s="114"/>
      <c r="EL225" s="114"/>
      <c r="EM225" s="114"/>
      <c r="EN225" s="114"/>
      <c r="EO225" s="114"/>
      <c r="EP225" s="114"/>
      <c r="EQ225" s="114"/>
      <c r="ER225" s="114"/>
      <c r="ES225" s="114"/>
      <c r="ET225" s="114"/>
      <c r="EU225" s="114"/>
      <c r="EV225" s="114"/>
      <c r="EW225" s="114"/>
      <c r="EX225" s="114"/>
      <c r="EY225" s="114"/>
      <c r="EZ225" s="114"/>
      <c r="FA225" s="114"/>
      <c r="FB225" s="114"/>
      <c r="FC225" s="114"/>
      <c r="FD225" s="114"/>
      <c r="FE225" s="114"/>
      <c r="FF225" s="114"/>
      <c r="FG225" s="114"/>
      <c r="FH225" s="114"/>
      <c r="FI225" s="114"/>
      <c r="FJ225" s="114"/>
      <c r="FK225" s="114"/>
      <c r="FL225" s="114"/>
      <c r="FM225" s="114"/>
      <c r="FN225" s="114"/>
      <c r="FO225" s="114"/>
      <c r="FP225" s="114"/>
      <c r="FQ225" s="114"/>
      <c r="FR225" s="114"/>
      <c r="FS225" s="114"/>
      <c r="FT225" s="114"/>
      <c r="FU225" s="114"/>
      <c r="FV225" s="114"/>
      <c r="FW225" s="114"/>
      <c r="FX225" s="114"/>
      <c r="FY225" s="114"/>
      <c r="FZ225" s="114"/>
      <c r="GA225" s="114"/>
      <c r="GB225" s="114"/>
      <c r="GC225" s="114"/>
      <c r="GD225" s="114"/>
      <c r="GE225" s="114"/>
      <c r="GF225" s="114"/>
      <c r="GG225" s="114"/>
      <c r="GH225" s="114"/>
      <c r="GI225" s="114"/>
      <c r="GJ225" s="114"/>
      <c r="GK225" s="114"/>
      <c r="GL225" s="114"/>
      <c r="GM225" s="114"/>
      <c r="GN225" s="114"/>
      <c r="GO225" s="114"/>
      <c r="GP225" s="114"/>
      <c r="GQ225" s="114"/>
      <c r="GR225" s="114"/>
      <c r="GS225" s="114"/>
      <c r="GT225" s="114"/>
      <c r="GU225" s="114"/>
      <c r="GV225" s="114"/>
      <c r="GW225" s="114"/>
      <c r="GX225" s="114"/>
      <c r="GY225" s="114"/>
      <c r="GZ225" s="114"/>
      <c r="HA225" s="114"/>
      <c r="HB225" s="114"/>
      <c r="HC225" s="114"/>
      <c r="HD225" s="114"/>
      <c r="HE225" s="114"/>
      <c r="HF225" s="114"/>
      <c r="HG225" s="114"/>
      <c r="HH225" s="114"/>
      <c r="HI225" s="114"/>
      <c r="HJ225" s="114"/>
      <c r="HK225" s="114"/>
      <c r="HL225" s="114"/>
      <c r="HM225" s="114"/>
      <c r="HN225" s="114"/>
      <c r="HO225" s="114"/>
      <c r="HP225" s="114"/>
      <c r="HQ225" s="114"/>
      <c r="HR225" s="114"/>
      <c r="HS225" s="114"/>
      <c r="HT225" s="114"/>
      <c r="HU225" s="114"/>
      <c r="HV225" s="114"/>
      <c r="HW225" s="114"/>
      <c r="HX225" s="114"/>
      <c r="HY225" s="114"/>
      <c r="HZ225" s="114"/>
      <c r="IA225" s="114"/>
      <c r="IB225" s="114"/>
      <c r="IC225" s="114"/>
      <c r="ID225" s="114"/>
      <c r="IE225" s="114"/>
      <c r="IF225" s="114"/>
      <c r="IG225" s="114"/>
      <c r="IH225" s="114"/>
      <c r="II225" s="114"/>
      <c r="IJ225" s="114"/>
      <c r="IK225" s="114"/>
      <c r="IL225" s="114"/>
      <c r="IM225" s="114"/>
      <c r="IN225" s="114"/>
      <c r="IO225" s="114"/>
      <c r="IP225" s="114"/>
      <c r="IQ225" s="114"/>
      <c r="IR225" s="114"/>
      <c r="IS225" s="114"/>
      <c r="IT225" s="114"/>
      <c r="IU225" s="114"/>
      <c r="IV225" s="114"/>
      <c r="IW225" s="114"/>
      <c r="IX225" s="114"/>
      <c r="IY225" s="114"/>
      <c r="IZ225" s="114"/>
      <c r="JA225" s="114"/>
      <c r="JB225" s="114"/>
      <c r="JC225" s="114"/>
      <c r="JD225" s="114"/>
      <c r="JE225" s="114"/>
      <c r="JF225" s="114"/>
      <c r="JG225" s="114"/>
      <c r="JH225" s="114"/>
      <c r="JI225" s="114"/>
      <c r="JJ225" s="114"/>
      <c r="JK225" s="114"/>
      <c r="JL225" s="114"/>
      <c r="JM225" s="114"/>
      <c r="JN225" s="114"/>
      <c r="JO225" s="114"/>
      <c r="JP225" s="114"/>
      <c r="JQ225" s="114"/>
      <c r="JR225" s="114"/>
      <c r="JS225" s="114"/>
      <c r="JT225" s="114"/>
      <c r="JU225" s="114"/>
      <c r="JV225" s="114"/>
      <c r="JW225" s="114"/>
      <c r="JX225" s="114"/>
      <c r="JY225" s="114"/>
      <c r="JZ225" s="114"/>
      <c r="KA225" s="114"/>
      <c r="KB225" s="114"/>
      <c r="KC225" s="114"/>
      <c r="KD225" s="114"/>
      <c r="KE225" s="114"/>
      <c r="KF225" s="114"/>
      <c r="KG225" s="114"/>
      <c r="KH225" s="114"/>
      <c r="KI225" s="114"/>
      <c r="KJ225" s="114"/>
      <c r="KK225" s="114"/>
      <c r="KL225" s="114"/>
      <c r="KM225" s="114"/>
      <c r="KN225" s="114"/>
      <c r="KO225" s="114"/>
      <c r="KP225" s="114"/>
      <c r="KQ225" s="114"/>
      <c r="KR225" s="114"/>
      <c r="KS225" s="114"/>
      <c r="KT225" s="114"/>
    </row>
    <row r="226" spans="1:306" s="47" customFormat="1" ht="13.8" x14ac:dyDescent="0.3">
      <c r="A226" s="82" t="s">
        <v>190</v>
      </c>
      <c r="B226" s="192" t="str">
        <f>C20</f>
        <v>NGN</v>
      </c>
      <c r="C226" s="192" t="e">
        <f>C225*C222</f>
        <v>#DIV/0!</v>
      </c>
      <c r="D226" s="88"/>
      <c r="E226" s="489" t="e">
        <f>E225*E222</f>
        <v>#DIV/0!</v>
      </c>
      <c r="F226" s="489" t="e">
        <f t="shared" ref="F226:I226" si="41">F225*F222</f>
        <v>#DIV/0!</v>
      </c>
      <c r="G226" s="489" t="e">
        <f t="shared" si="41"/>
        <v>#DIV/0!</v>
      </c>
      <c r="H226" s="489" t="e">
        <f t="shared" si="41"/>
        <v>#DIV/0!</v>
      </c>
      <c r="I226" s="489" t="e">
        <f t="shared" si="41"/>
        <v>#DIV/0!</v>
      </c>
      <c r="L226" s="85"/>
      <c r="M226" s="85"/>
      <c r="N226" s="85"/>
      <c r="O226" s="85"/>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114"/>
      <c r="BZ226" s="114"/>
      <c r="CA226" s="114"/>
      <c r="CB226" s="114"/>
      <c r="CC226" s="114"/>
      <c r="CD226" s="114"/>
      <c r="CE226" s="114"/>
      <c r="CF226" s="114"/>
      <c r="CG226" s="114"/>
      <c r="CH226" s="114"/>
      <c r="CI226" s="114"/>
      <c r="CJ226" s="114"/>
      <c r="CK226" s="114"/>
      <c r="CL226" s="114"/>
      <c r="CM226" s="114"/>
      <c r="CN226" s="114"/>
      <c r="CO226" s="114"/>
      <c r="CP226" s="114"/>
      <c r="CQ226" s="114"/>
      <c r="CR226" s="114"/>
      <c r="CS226" s="114"/>
      <c r="CT226" s="114"/>
      <c r="CU226" s="114"/>
      <c r="CV226" s="114"/>
      <c r="CW226" s="114"/>
      <c r="CX226" s="114"/>
      <c r="CY226" s="114"/>
      <c r="CZ226" s="114"/>
      <c r="DA226" s="114"/>
      <c r="DB226" s="114"/>
      <c r="DC226" s="114"/>
      <c r="DD226" s="114"/>
      <c r="DE226" s="114"/>
      <c r="DF226" s="114"/>
      <c r="DG226" s="114"/>
      <c r="DH226" s="114"/>
      <c r="DI226" s="114"/>
      <c r="DJ226" s="114"/>
      <c r="DK226" s="114"/>
      <c r="DL226" s="114"/>
      <c r="DM226" s="114"/>
      <c r="DN226" s="114"/>
      <c r="DO226" s="114"/>
      <c r="DP226" s="114"/>
      <c r="DQ226" s="114"/>
      <c r="DR226" s="114"/>
      <c r="DS226" s="114"/>
      <c r="DT226" s="114"/>
      <c r="DU226" s="114"/>
      <c r="DV226" s="114"/>
      <c r="DW226" s="114"/>
      <c r="DX226" s="114"/>
      <c r="DY226" s="114"/>
      <c r="DZ226" s="114"/>
      <c r="EA226" s="114"/>
      <c r="EB226" s="114"/>
      <c r="EC226" s="114"/>
      <c r="ED226" s="114"/>
      <c r="EE226" s="114"/>
      <c r="EF226" s="114"/>
      <c r="EG226" s="114"/>
      <c r="EH226" s="114"/>
      <c r="EI226" s="114"/>
      <c r="EJ226" s="114"/>
      <c r="EK226" s="114"/>
      <c r="EL226" s="114"/>
      <c r="EM226" s="114"/>
      <c r="EN226" s="114"/>
      <c r="EO226" s="114"/>
      <c r="EP226" s="114"/>
      <c r="EQ226" s="114"/>
      <c r="ER226" s="114"/>
      <c r="ES226" s="114"/>
      <c r="ET226" s="114"/>
      <c r="EU226" s="114"/>
      <c r="EV226" s="114"/>
      <c r="EW226" s="114"/>
      <c r="EX226" s="114"/>
      <c r="EY226" s="114"/>
      <c r="EZ226" s="114"/>
      <c r="FA226" s="114"/>
      <c r="FB226" s="114"/>
      <c r="FC226" s="114"/>
      <c r="FD226" s="114"/>
      <c r="FE226" s="114"/>
      <c r="FF226" s="114"/>
      <c r="FG226" s="114"/>
      <c r="FH226" s="114"/>
      <c r="FI226" s="114"/>
      <c r="FJ226" s="114"/>
      <c r="FK226" s="114"/>
      <c r="FL226" s="114"/>
      <c r="FM226" s="114"/>
      <c r="FN226" s="114"/>
      <c r="FO226" s="114"/>
      <c r="FP226" s="114"/>
      <c r="FQ226" s="114"/>
      <c r="FR226" s="114"/>
      <c r="FS226" s="114"/>
      <c r="FT226" s="114"/>
      <c r="FU226" s="114"/>
      <c r="FV226" s="114"/>
      <c r="FW226" s="114"/>
      <c r="FX226" s="114"/>
      <c r="FY226" s="114"/>
      <c r="FZ226" s="114"/>
      <c r="GA226" s="114"/>
      <c r="GB226" s="114"/>
      <c r="GC226" s="114"/>
      <c r="GD226" s="114"/>
      <c r="GE226" s="114"/>
      <c r="GF226" s="114"/>
      <c r="GG226" s="114"/>
      <c r="GH226" s="114"/>
      <c r="GI226" s="114"/>
      <c r="GJ226" s="114"/>
      <c r="GK226" s="114"/>
      <c r="GL226" s="114"/>
      <c r="GM226" s="114"/>
      <c r="GN226" s="114"/>
      <c r="GO226" s="114"/>
      <c r="GP226" s="114"/>
      <c r="GQ226" s="114"/>
      <c r="GR226" s="114"/>
      <c r="GS226" s="114"/>
      <c r="GT226" s="114"/>
      <c r="GU226" s="114"/>
      <c r="GV226" s="114"/>
      <c r="GW226" s="114"/>
      <c r="GX226" s="114"/>
      <c r="GY226" s="114"/>
      <c r="GZ226" s="114"/>
      <c r="HA226" s="114"/>
      <c r="HB226" s="114"/>
      <c r="HC226" s="114"/>
      <c r="HD226" s="114"/>
      <c r="HE226" s="114"/>
      <c r="HF226" s="114"/>
      <c r="HG226" s="114"/>
      <c r="HH226" s="114"/>
      <c r="HI226" s="114"/>
      <c r="HJ226" s="114"/>
      <c r="HK226" s="114"/>
      <c r="HL226" s="114"/>
      <c r="HM226" s="114"/>
      <c r="HN226" s="114"/>
      <c r="HO226" s="114"/>
      <c r="HP226" s="114"/>
      <c r="HQ226" s="114"/>
      <c r="HR226" s="114"/>
      <c r="HS226" s="114"/>
      <c r="HT226" s="114"/>
      <c r="HU226" s="114"/>
      <c r="HV226" s="114"/>
      <c r="HW226" s="114"/>
      <c r="HX226" s="114"/>
      <c r="HY226" s="114"/>
      <c r="HZ226" s="114"/>
      <c r="IA226" s="114"/>
      <c r="IB226" s="114"/>
      <c r="IC226" s="114"/>
      <c r="ID226" s="114"/>
      <c r="IE226" s="114"/>
      <c r="IF226" s="114"/>
      <c r="IG226" s="114"/>
      <c r="IH226" s="114"/>
      <c r="II226" s="114"/>
      <c r="IJ226" s="114"/>
      <c r="IK226" s="114"/>
      <c r="IL226" s="114"/>
      <c r="IM226" s="114"/>
      <c r="IN226" s="114"/>
      <c r="IO226" s="114"/>
      <c r="IP226" s="114"/>
      <c r="IQ226" s="114"/>
      <c r="IR226" s="114"/>
      <c r="IS226" s="114"/>
      <c r="IT226" s="114"/>
      <c r="IU226" s="114"/>
      <c r="IV226" s="114"/>
      <c r="IW226" s="114"/>
      <c r="IX226" s="114"/>
      <c r="IY226" s="114"/>
      <c r="IZ226" s="114"/>
      <c r="JA226" s="114"/>
      <c r="JB226" s="114"/>
      <c r="JC226" s="114"/>
      <c r="JD226" s="114"/>
      <c r="JE226" s="114"/>
      <c r="JF226" s="114"/>
      <c r="JG226" s="114"/>
      <c r="JH226" s="114"/>
      <c r="JI226" s="114"/>
      <c r="JJ226" s="114"/>
      <c r="JK226" s="114"/>
      <c r="JL226" s="114"/>
      <c r="JM226" s="114"/>
      <c r="JN226" s="114"/>
      <c r="JO226" s="114"/>
      <c r="JP226" s="114"/>
      <c r="JQ226" s="114"/>
      <c r="JR226" s="114"/>
      <c r="JS226" s="114"/>
      <c r="JT226" s="114"/>
      <c r="JU226" s="114"/>
      <c r="JV226" s="114"/>
      <c r="JW226" s="114"/>
      <c r="JX226" s="114"/>
      <c r="JY226" s="114"/>
      <c r="JZ226" s="114"/>
      <c r="KA226" s="114"/>
      <c r="KB226" s="114"/>
      <c r="KC226" s="114"/>
      <c r="KD226" s="114"/>
      <c r="KE226" s="114"/>
      <c r="KF226" s="114"/>
      <c r="KG226" s="114"/>
      <c r="KH226" s="114"/>
      <c r="KI226" s="114"/>
      <c r="KJ226" s="114"/>
      <c r="KK226" s="114"/>
      <c r="KL226" s="114"/>
      <c r="KM226" s="114"/>
      <c r="KN226" s="114"/>
      <c r="KO226" s="114"/>
      <c r="KP226" s="114"/>
      <c r="KQ226" s="114"/>
      <c r="KR226" s="114"/>
      <c r="KS226" s="114"/>
      <c r="KT226" s="114"/>
    </row>
    <row r="227" spans="1:306" s="47" customFormat="1" thickBot="1" x14ac:dyDescent="0.35">
      <c r="A227" s="82" t="s">
        <v>218</v>
      </c>
      <c r="B227" s="144" t="s">
        <v>86</v>
      </c>
      <c r="C227" s="192">
        <f>SUM(Calculations!E9:I9)</f>
        <v>0</v>
      </c>
      <c r="D227" s="88"/>
      <c r="E227" s="223">
        <f>Calculations!D9</f>
        <v>0</v>
      </c>
      <c r="F227" s="223">
        <f>Calculations!F9</f>
        <v>0</v>
      </c>
      <c r="G227" s="223">
        <f>Calculations!G9</f>
        <v>0</v>
      </c>
      <c r="H227" s="223">
        <f>Calculations!H9</f>
        <v>0</v>
      </c>
      <c r="I227" s="223">
        <f>Calculations!I9</f>
        <v>0</v>
      </c>
      <c r="L227" s="85"/>
      <c r="M227" s="85"/>
      <c r="N227" s="85"/>
      <c r="O227" s="85"/>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c r="BY227" s="114"/>
      <c r="BZ227" s="114"/>
      <c r="CA227" s="114"/>
      <c r="CB227" s="114"/>
      <c r="CC227" s="114"/>
      <c r="CD227" s="114"/>
      <c r="CE227" s="114"/>
      <c r="CF227" s="114"/>
      <c r="CG227" s="114"/>
      <c r="CH227" s="114"/>
      <c r="CI227" s="114"/>
      <c r="CJ227" s="114"/>
      <c r="CK227" s="114"/>
      <c r="CL227" s="114"/>
      <c r="CM227" s="114"/>
      <c r="CN227" s="114"/>
      <c r="CO227" s="114"/>
      <c r="CP227" s="114"/>
      <c r="CQ227" s="114"/>
      <c r="CR227" s="114"/>
      <c r="CS227" s="114"/>
      <c r="CT227" s="114"/>
      <c r="CU227" s="114"/>
      <c r="CV227" s="114"/>
      <c r="CW227" s="114"/>
      <c r="CX227" s="114"/>
      <c r="CY227" s="114"/>
      <c r="CZ227" s="114"/>
      <c r="DA227" s="114"/>
      <c r="DB227" s="114"/>
      <c r="DC227" s="114"/>
      <c r="DD227" s="114"/>
      <c r="DE227" s="114"/>
      <c r="DF227" s="114"/>
      <c r="DG227" s="114"/>
      <c r="DH227" s="114"/>
      <c r="DI227" s="114"/>
      <c r="DJ227" s="114"/>
      <c r="DK227" s="114"/>
      <c r="DL227" s="114"/>
      <c r="DM227" s="114"/>
      <c r="DN227" s="114"/>
      <c r="DO227" s="114"/>
      <c r="DP227" s="114"/>
      <c r="DQ227" s="114"/>
      <c r="DR227" s="114"/>
      <c r="DS227" s="114"/>
      <c r="DT227" s="114"/>
      <c r="DU227" s="114"/>
      <c r="DV227" s="114"/>
      <c r="DW227" s="114"/>
      <c r="DX227" s="114"/>
      <c r="DY227" s="114"/>
      <c r="DZ227" s="114"/>
      <c r="EA227" s="114"/>
      <c r="EB227" s="114"/>
      <c r="EC227" s="114"/>
      <c r="ED227" s="114"/>
      <c r="EE227" s="114"/>
      <c r="EF227" s="114"/>
      <c r="EG227" s="114"/>
      <c r="EH227" s="114"/>
      <c r="EI227" s="114"/>
      <c r="EJ227" s="114"/>
      <c r="EK227" s="114"/>
      <c r="EL227" s="114"/>
      <c r="EM227" s="114"/>
      <c r="EN227" s="114"/>
      <c r="EO227" s="114"/>
      <c r="EP227" s="114"/>
      <c r="EQ227" s="114"/>
      <c r="ER227" s="114"/>
      <c r="ES227" s="114"/>
      <c r="ET227" s="114"/>
      <c r="EU227" s="114"/>
      <c r="EV227" s="114"/>
      <c r="EW227" s="114"/>
      <c r="EX227" s="114"/>
      <c r="EY227" s="114"/>
      <c r="EZ227" s="114"/>
      <c r="FA227" s="114"/>
      <c r="FB227" s="114"/>
      <c r="FC227" s="114"/>
      <c r="FD227" s="114"/>
      <c r="FE227" s="114"/>
      <c r="FF227" s="114"/>
      <c r="FG227" s="114"/>
      <c r="FH227" s="114"/>
      <c r="FI227" s="114"/>
      <c r="FJ227" s="114"/>
      <c r="FK227" s="114"/>
      <c r="FL227" s="114"/>
      <c r="FM227" s="114"/>
      <c r="FN227" s="114"/>
      <c r="FO227" s="114"/>
      <c r="FP227" s="114"/>
      <c r="FQ227" s="114"/>
      <c r="FR227" s="114"/>
      <c r="FS227" s="114"/>
      <c r="FT227" s="114"/>
      <c r="FU227" s="114"/>
      <c r="FV227" s="114"/>
      <c r="FW227" s="114"/>
      <c r="FX227" s="114"/>
      <c r="FY227" s="114"/>
      <c r="FZ227" s="114"/>
      <c r="GA227" s="114"/>
      <c r="GB227" s="114"/>
      <c r="GC227" s="114"/>
      <c r="GD227" s="114"/>
      <c r="GE227" s="114"/>
      <c r="GF227" s="114"/>
      <c r="GG227" s="114"/>
      <c r="GH227" s="114"/>
      <c r="GI227" s="114"/>
      <c r="GJ227" s="114"/>
      <c r="GK227" s="114"/>
      <c r="GL227" s="114"/>
      <c r="GM227" s="114"/>
      <c r="GN227" s="114"/>
      <c r="GO227" s="114"/>
      <c r="GP227" s="114"/>
      <c r="GQ227" s="114"/>
      <c r="GR227" s="114"/>
      <c r="GS227" s="114"/>
      <c r="GT227" s="114"/>
      <c r="GU227" s="114"/>
      <c r="GV227" s="114"/>
      <c r="GW227" s="114"/>
      <c r="GX227" s="114"/>
      <c r="GY227" s="114"/>
      <c r="GZ227" s="114"/>
      <c r="HA227" s="114"/>
      <c r="HB227" s="114"/>
      <c r="HC227" s="114"/>
      <c r="HD227" s="114"/>
      <c r="HE227" s="114"/>
      <c r="HF227" s="114"/>
      <c r="HG227" s="114"/>
      <c r="HH227" s="114"/>
      <c r="HI227" s="114"/>
      <c r="HJ227" s="114"/>
      <c r="HK227" s="114"/>
      <c r="HL227" s="114"/>
      <c r="HM227" s="114"/>
      <c r="HN227" s="114"/>
      <c r="HO227" s="114"/>
      <c r="HP227" s="114"/>
      <c r="HQ227" s="114"/>
      <c r="HR227" s="114"/>
      <c r="HS227" s="114"/>
      <c r="HT227" s="114"/>
      <c r="HU227" s="114"/>
      <c r="HV227" s="114"/>
      <c r="HW227" s="114"/>
      <c r="HX227" s="114"/>
      <c r="HY227" s="114"/>
      <c r="HZ227" s="114"/>
      <c r="IA227" s="114"/>
      <c r="IB227" s="114"/>
      <c r="IC227" s="114"/>
      <c r="ID227" s="114"/>
      <c r="IE227" s="114"/>
      <c r="IF227" s="114"/>
      <c r="IG227" s="114"/>
      <c r="IH227" s="114"/>
      <c r="II227" s="114"/>
      <c r="IJ227" s="114"/>
      <c r="IK227" s="114"/>
      <c r="IL227" s="114"/>
      <c r="IM227" s="114"/>
      <c r="IN227" s="114"/>
      <c r="IO227" s="114"/>
      <c r="IP227" s="114"/>
      <c r="IQ227" s="114"/>
      <c r="IR227" s="114"/>
      <c r="IS227" s="114"/>
      <c r="IT227" s="114"/>
      <c r="IU227" s="114"/>
      <c r="IV227" s="114"/>
      <c r="IW227" s="114"/>
      <c r="IX227" s="114"/>
      <c r="IY227" s="114"/>
      <c r="IZ227" s="114"/>
      <c r="JA227" s="114"/>
      <c r="JB227" s="114"/>
      <c r="JC227" s="114"/>
      <c r="JD227" s="114"/>
      <c r="JE227" s="114"/>
      <c r="JF227" s="114"/>
      <c r="JG227" s="114"/>
      <c r="JH227" s="114"/>
      <c r="JI227" s="114"/>
      <c r="JJ227" s="114"/>
      <c r="JK227" s="114"/>
      <c r="JL227" s="114"/>
      <c r="JM227" s="114"/>
      <c r="JN227" s="114"/>
      <c r="JO227" s="114"/>
      <c r="JP227" s="114"/>
      <c r="JQ227" s="114"/>
      <c r="JR227" s="114"/>
      <c r="JS227" s="114"/>
      <c r="JT227" s="114"/>
      <c r="JU227" s="114"/>
      <c r="JV227" s="114"/>
      <c r="JW227" s="114"/>
      <c r="JX227" s="114"/>
      <c r="JY227" s="114"/>
      <c r="JZ227" s="114"/>
      <c r="KA227" s="114"/>
      <c r="KB227" s="114"/>
      <c r="KC227" s="114"/>
      <c r="KD227" s="114"/>
      <c r="KE227" s="114"/>
      <c r="KF227" s="114"/>
      <c r="KG227" s="114"/>
      <c r="KH227" s="114"/>
      <c r="KI227" s="114"/>
      <c r="KJ227" s="114"/>
      <c r="KK227" s="114"/>
      <c r="KL227" s="114"/>
      <c r="KM227" s="114"/>
      <c r="KN227" s="114"/>
      <c r="KO227" s="114"/>
      <c r="KP227" s="114"/>
      <c r="KQ227" s="114"/>
      <c r="KR227" s="114"/>
      <c r="KS227" s="114"/>
      <c r="KT227" s="114"/>
    </row>
    <row r="228" spans="1:306" s="47" customFormat="1" thickTop="1" x14ac:dyDescent="0.3">
      <c r="A228" s="118" t="s">
        <v>191</v>
      </c>
      <c r="B228" s="20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228" s="147">
        <f>IF(C227&gt;0,C226/C227,0)</f>
        <v>0</v>
      </c>
      <c r="D228" s="119" t="s">
        <v>192</v>
      </c>
      <c r="E228" s="88"/>
      <c r="F228" s="117">
        <f>IF(E227&gt;0,E226/E227,0)</f>
        <v>0</v>
      </c>
      <c r="G228" s="117">
        <f t="shared" ref="G228:I228" si="42">IF(F227&gt;0,F226/F227,0)</f>
        <v>0</v>
      </c>
      <c r="H228" s="117">
        <f>IF(G227&gt;0,G226/G227,0)</f>
        <v>0</v>
      </c>
      <c r="I228" s="117">
        <f t="shared" si="42"/>
        <v>0</v>
      </c>
      <c r="J228" s="120"/>
      <c r="K228" s="85"/>
      <c r="L228" s="85"/>
      <c r="M228" s="85"/>
      <c r="N228" s="85"/>
      <c r="O228" s="85"/>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14"/>
      <c r="CX228" s="114"/>
      <c r="CY228" s="114"/>
      <c r="CZ228" s="114"/>
      <c r="DA228" s="114"/>
      <c r="DB228" s="114"/>
      <c r="DC228" s="114"/>
      <c r="DD228" s="114"/>
      <c r="DE228" s="114"/>
      <c r="DF228" s="114"/>
      <c r="DG228" s="114"/>
      <c r="DH228" s="114"/>
      <c r="DI228" s="114"/>
      <c r="DJ228" s="114"/>
      <c r="DK228" s="114"/>
      <c r="DL228" s="114"/>
      <c r="DM228" s="114"/>
      <c r="DN228" s="114"/>
      <c r="DO228" s="114"/>
      <c r="DP228" s="114"/>
      <c r="DQ228" s="114"/>
      <c r="DR228" s="114"/>
      <c r="DS228" s="114"/>
      <c r="DT228" s="114"/>
      <c r="DU228" s="114"/>
      <c r="DV228" s="114"/>
      <c r="DW228" s="114"/>
      <c r="DX228" s="114"/>
      <c r="DY228" s="114"/>
      <c r="DZ228" s="114"/>
      <c r="EA228" s="114"/>
      <c r="EB228" s="114"/>
      <c r="EC228" s="114"/>
      <c r="ED228" s="114"/>
      <c r="EE228" s="114"/>
      <c r="EF228" s="114"/>
      <c r="EG228" s="114"/>
      <c r="EH228" s="114"/>
      <c r="EI228" s="114"/>
      <c r="EJ228" s="114"/>
      <c r="EK228" s="114"/>
      <c r="EL228" s="114"/>
      <c r="EM228" s="114"/>
      <c r="EN228" s="114"/>
      <c r="EO228" s="114"/>
      <c r="EP228" s="114"/>
      <c r="EQ228" s="114"/>
      <c r="ER228" s="114"/>
      <c r="ES228" s="114"/>
      <c r="ET228" s="114"/>
      <c r="EU228" s="114"/>
      <c r="EV228" s="114"/>
      <c r="EW228" s="114"/>
      <c r="EX228" s="114"/>
      <c r="EY228" s="114"/>
      <c r="EZ228" s="114"/>
      <c r="FA228" s="114"/>
      <c r="FB228" s="114"/>
      <c r="FC228" s="114"/>
      <c r="FD228" s="114"/>
      <c r="FE228" s="114"/>
      <c r="FF228" s="114"/>
      <c r="FG228" s="114"/>
      <c r="FH228" s="114"/>
      <c r="FI228" s="114"/>
      <c r="FJ228" s="114"/>
      <c r="FK228" s="114"/>
      <c r="FL228" s="114"/>
      <c r="FM228" s="114"/>
      <c r="FN228" s="114"/>
      <c r="FO228" s="114"/>
      <c r="FP228" s="114"/>
      <c r="FQ228" s="114"/>
      <c r="FR228" s="114"/>
      <c r="FS228" s="114"/>
      <c r="FT228" s="114"/>
      <c r="FU228" s="114"/>
      <c r="FV228" s="114"/>
      <c r="FW228" s="114"/>
      <c r="FX228" s="114"/>
      <c r="FY228" s="114"/>
      <c r="FZ228" s="114"/>
      <c r="GA228" s="114"/>
      <c r="GB228" s="114"/>
      <c r="GC228" s="114"/>
      <c r="GD228" s="114"/>
      <c r="GE228" s="114"/>
      <c r="GF228" s="114"/>
      <c r="GG228" s="114"/>
      <c r="GH228" s="114"/>
      <c r="GI228" s="114"/>
      <c r="GJ228" s="114"/>
      <c r="GK228" s="114"/>
      <c r="GL228" s="114"/>
      <c r="GM228" s="114"/>
      <c r="GN228" s="114"/>
      <c r="GO228" s="114"/>
      <c r="GP228" s="114"/>
      <c r="GQ228" s="114"/>
      <c r="GR228" s="114"/>
      <c r="GS228" s="114"/>
      <c r="GT228" s="114"/>
      <c r="GU228" s="114"/>
      <c r="GV228" s="114"/>
      <c r="GW228" s="114"/>
      <c r="GX228" s="114"/>
      <c r="GY228" s="114"/>
      <c r="GZ228" s="114"/>
      <c r="HA228" s="114"/>
      <c r="HB228" s="114"/>
      <c r="HC228" s="114"/>
      <c r="HD228" s="114"/>
      <c r="HE228" s="114"/>
      <c r="HF228" s="114"/>
      <c r="HG228" s="114"/>
      <c r="HH228" s="114"/>
      <c r="HI228" s="114"/>
      <c r="HJ228" s="114"/>
      <c r="HK228" s="114"/>
      <c r="HL228" s="114"/>
      <c r="HM228" s="114"/>
      <c r="HN228" s="114"/>
      <c r="HO228" s="114"/>
      <c r="HP228" s="114"/>
      <c r="HQ228" s="114"/>
      <c r="HR228" s="114"/>
      <c r="HS228" s="114"/>
      <c r="HT228" s="114"/>
      <c r="HU228" s="114"/>
      <c r="HV228" s="114"/>
      <c r="HW228" s="114"/>
      <c r="HX228" s="114"/>
      <c r="HY228" s="114"/>
      <c r="HZ228" s="114"/>
      <c r="IA228" s="114"/>
      <c r="IB228" s="114"/>
      <c r="IC228" s="114"/>
      <c r="ID228" s="114"/>
      <c r="IE228" s="114"/>
      <c r="IF228" s="114"/>
      <c r="IG228" s="114"/>
      <c r="IH228" s="114"/>
      <c r="II228" s="114"/>
      <c r="IJ228" s="114"/>
      <c r="IK228" s="114"/>
      <c r="IL228" s="114"/>
      <c r="IM228" s="114"/>
      <c r="IN228" s="114"/>
      <c r="IO228" s="114"/>
      <c r="IP228" s="114"/>
      <c r="IQ228" s="114"/>
      <c r="IR228" s="114"/>
      <c r="IS228" s="114"/>
      <c r="IT228" s="114"/>
      <c r="IU228" s="114"/>
      <c r="IV228" s="114"/>
      <c r="IW228" s="114"/>
      <c r="IX228" s="114"/>
      <c r="IY228" s="114"/>
      <c r="IZ228" s="114"/>
      <c r="JA228" s="114"/>
      <c r="JB228" s="114"/>
      <c r="JC228" s="114"/>
      <c r="JD228" s="114"/>
      <c r="JE228" s="114"/>
      <c r="JF228" s="114"/>
      <c r="JG228" s="114"/>
      <c r="JH228" s="114"/>
      <c r="JI228" s="114"/>
      <c r="JJ228" s="114"/>
      <c r="JK228" s="114"/>
      <c r="JL228" s="114"/>
      <c r="JM228" s="114"/>
      <c r="JN228" s="114"/>
      <c r="JO228" s="114"/>
      <c r="JP228" s="114"/>
      <c r="JQ228" s="114"/>
      <c r="JR228" s="114"/>
      <c r="JS228" s="114"/>
      <c r="JT228" s="114"/>
      <c r="JU228" s="114"/>
      <c r="JV228" s="114"/>
      <c r="JW228" s="114"/>
      <c r="JX228" s="114"/>
      <c r="JY228" s="114"/>
      <c r="JZ228" s="114"/>
      <c r="KA228" s="114"/>
      <c r="KB228" s="114"/>
      <c r="KC228" s="114"/>
      <c r="KD228" s="114"/>
      <c r="KE228" s="114"/>
      <c r="KF228" s="114"/>
      <c r="KG228" s="114"/>
      <c r="KH228" s="114"/>
      <c r="KI228" s="114"/>
      <c r="KJ228" s="114"/>
      <c r="KK228" s="114"/>
      <c r="KL228" s="114"/>
      <c r="KM228" s="114"/>
      <c r="KN228" s="114"/>
      <c r="KO228" s="114"/>
      <c r="KP228" s="114"/>
      <c r="KQ228" s="114"/>
      <c r="KR228" s="114"/>
      <c r="KS228" s="114"/>
      <c r="KT228" s="114"/>
    </row>
    <row r="229" spans="1:306" s="47" customFormat="1" ht="13.8" x14ac:dyDescent="0.3">
      <c r="A229" s="106"/>
      <c r="B229" s="61"/>
      <c r="E229" s="85"/>
      <c r="AG229" s="85"/>
      <c r="AH229" s="85"/>
      <c r="AI229" s="85"/>
    </row>
    <row r="230" spans="1:306" s="47" customFormat="1" ht="13.8" x14ac:dyDescent="0.3">
      <c r="E230" s="85"/>
      <c r="AG230" s="85"/>
      <c r="AH230" s="85"/>
      <c r="AI230" s="85"/>
    </row>
    <row r="231" spans="1:306" s="95" customFormat="1" ht="13.8" hidden="1" x14ac:dyDescent="0.3">
      <c r="A231" s="93" t="s">
        <v>390</v>
      </c>
      <c r="B231" s="94"/>
      <c r="C231" s="93"/>
      <c r="E231" s="96"/>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6"/>
      <c r="AH231" s="96"/>
      <c r="AI231" s="96"/>
      <c r="AJ231" s="97"/>
      <c r="AK231" s="97"/>
      <c r="AL231" s="97"/>
      <c r="AM231" s="97"/>
      <c r="AN231" s="97"/>
      <c r="AO231" s="97"/>
      <c r="AP231" s="97"/>
      <c r="AQ231" s="97"/>
      <c r="AR231" s="97"/>
      <c r="AS231" s="97"/>
    </row>
    <row r="232" spans="1:306" s="85" customFormat="1" hidden="1" x14ac:dyDescent="0.3">
      <c r="B232" s="60"/>
      <c r="C232" s="121" t="s">
        <v>15</v>
      </c>
      <c r="D232" s="121" t="s">
        <v>16</v>
      </c>
      <c r="E232" s="122" t="s">
        <v>17</v>
      </c>
      <c r="F232" s="122" t="s">
        <v>18</v>
      </c>
      <c r="G232" s="56" t="s">
        <v>5</v>
      </c>
      <c r="H232" s="56" t="s">
        <v>7</v>
      </c>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row>
    <row r="233" spans="1:306" s="47" customFormat="1" ht="13.8" hidden="1" x14ac:dyDescent="0.3">
      <c r="A233" s="64"/>
      <c r="B233" s="64" t="s">
        <v>47</v>
      </c>
      <c r="C233" s="123" t="s">
        <v>48</v>
      </c>
      <c r="D233" s="123" t="s">
        <v>48</v>
      </c>
      <c r="E233" s="123" t="s">
        <v>48</v>
      </c>
      <c r="F233" s="123" t="s">
        <v>48</v>
      </c>
      <c r="AG233" s="85"/>
      <c r="AH233" s="85"/>
      <c r="AI233" s="85"/>
    </row>
    <row r="234" spans="1:306" hidden="1" x14ac:dyDescent="0.3">
      <c r="A234" s="124" t="s">
        <v>1</v>
      </c>
      <c r="B234" s="212" t="str">
        <f>B24</f>
        <v>NGN</v>
      </c>
      <c r="C234" s="57"/>
      <c r="E234" s="125"/>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6"/>
      <c r="AH234" s="56"/>
      <c r="AI234" s="56"/>
      <c r="AJ234" s="57"/>
      <c r="AK234" s="57"/>
      <c r="AL234" s="57"/>
      <c r="AM234" s="57"/>
      <c r="AN234" s="57"/>
      <c r="AO234" s="57"/>
      <c r="AP234" s="57"/>
      <c r="AQ234" s="57"/>
      <c r="AR234" s="57"/>
      <c r="AS234" s="57"/>
    </row>
    <row r="235" spans="1:306" hidden="1" x14ac:dyDescent="0.3">
      <c r="A235" s="45" t="s">
        <v>468</v>
      </c>
      <c r="B235" s="47"/>
      <c r="C235" s="213">
        <v>350</v>
      </c>
      <c r="D235" s="213">
        <v>500</v>
      </c>
      <c r="E235" s="213">
        <v>733</v>
      </c>
      <c r="G235" s="57" t="s">
        <v>6</v>
      </c>
      <c r="H235" s="45">
        <v>2018</v>
      </c>
      <c r="AG235" s="45"/>
      <c r="AH235" s="45"/>
      <c r="AI235" s="45"/>
    </row>
    <row r="236" spans="1:306" hidden="1" x14ac:dyDescent="0.3">
      <c r="A236" s="45" t="s">
        <v>19</v>
      </c>
      <c r="B236" s="214"/>
      <c r="C236" s="213">
        <v>800</v>
      </c>
      <c r="D236" s="213"/>
      <c r="E236" s="213">
        <v>4000</v>
      </c>
      <c r="F236" s="213">
        <v>26000</v>
      </c>
      <c r="G236" s="57" t="s">
        <v>6</v>
      </c>
      <c r="H236" s="45">
        <v>2019</v>
      </c>
      <c r="AG236" s="45"/>
      <c r="AH236" s="45"/>
      <c r="AI236" s="45"/>
    </row>
    <row r="237" spans="1:306" hidden="1" x14ac:dyDescent="0.3">
      <c r="A237" s="45" t="s">
        <v>249</v>
      </c>
      <c r="B237" s="212" t="str">
        <f>B24</f>
        <v>NGN</v>
      </c>
      <c r="C237" s="57" t="s">
        <v>21</v>
      </c>
      <c r="E237" s="215"/>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6"/>
      <c r="AH237" s="56"/>
      <c r="AI237" s="56"/>
      <c r="AJ237" s="57"/>
      <c r="AK237" s="57"/>
      <c r="AL237" s="57"/>
      <c r="AM237" s="57"/>
      <c r="AN237" s="57"/>
      <c r="AO237" s="57"/>
      <c r="AP237" s="57"/>
      <c r="AQ237" s="57"/>
      <c r="AR237" s="57"/>
      <c r="AS237" s="57"/>
    </row>
    <row r="238" spans="1:306" s="127" customFormat="1" hidden="1" x14ac:dyDescent="0.3">
      <c r="A238" s="126" t="s">
        <v>2</v>
      </c>
      <c r="B238" s="214"/>
      <c r="C238" s="216">
        <v>4000</v>
      </c>
      <c r="D238" s="216"/>
      <c r="E238" s="216">
        <v>6200</v>
      </c>
      <c r="F238" s="216">
        <v>11000</v>
      </c>
      <c r="G238" s="127" t="s">
        <v>6</v>
      </c>
      <c r="H238" s="127">
        <v>2019</v>
      </c>
    </row>
    <row r="239" spans="1:306" s="127" customFormat="1" hidden="1" x14ac:dyDescent="0.3">
      <c r="A239" s="126" t="s">
        <v>2</v>
      </c>
      <c r="B239" s="214"/>
      <c r="C239" s="216">
        <v>1420</v>
      </c>
      <c r="D239" s="216">
        <v>4849</v>
      </c>
      <c r="E239" s="216">
        <v>6193</v>
      </c>
      <c r="F239" s="216">
        <v>22689</v>
      </c>
      <c r="G239" s="127" t="s">
        <v>26</v>
      </c>
      <c r="H239" s="127">
        <v>2019</v>
      </c>
    </row>
    <row r="240" spans="1:306" hidden="1" x14ac:dyDescent="0.3">
      <c r="A240" s="124" t="s">
        <v>244</v>
      </c>
      <c r="B240" s="84"/>
      <c r="C240" s="57"/>
      <c r="E240" s="215"/>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6"/>
      <c r="AH240" s="56"/>
      <c r="AI240" s="56"/>
      <c r="AJ240" s="57"/>
      <c r="AK240" s="57"/>
      <c r="AL240" s="57"/>
      <c r="AM240" s="57"/>
      <c r="AN240" s="57"/>
      <c r="AO240" s="57"/>
      <c r="AP240" s="57"/>
      <c r="AQ240" s="57"/>
      <c r="AR240" s="57"/>
      <c r="AS240" s="57"/>
    </row>
    <row r="241" spans="1:45" hidden="1" x14ac:dyDescent="0.3">
      <c r="A241" s="124" t="s">
        <v>245</v>
      </c>
      <c r="B241" s="84"/>
      <c r="C241" s="57"/>
      <c r="E241" s="215"/>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6"/>
      <c r="AH241" s="56"/>
      <c r="AI241" s="56"/>
      <c r="AJ241" s="57"/>
      <c r="AK241" s="57"/>
      <c r="AL241" s="57"/>
      <c r="AM241" s="57"/>
      <c r="AN241" s="57"/>
      <c r="AO241" s="57"/>
      <c r="AP241" s="57"/>
      <c r="AQ241" s="57"/>
      <c r="AR241" s="57"/>
      <c r="AS241" s="57"/>
    </row>
    <row r="242" spans="1:45" hidden="1" x14ac:dyDescent="0.3">
      <c r="A242" s="124" t="s">
        <v>246</v>
      </c>
      <c r="B242" s="84"/>
      <c r="C242" s="57"/>
      <c r="E242" s="215"/>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6"/>
      <c r="AH242" s="56"/>
      <c r="AI242" s="56"/>
      <c r="AJ242" s="57"/>
      <c r="AK242" s="57"/>
      <c r="AL242" s="57"/>
      <c r="AM242" s="57"/>
      <c r="AN242" s="57"/>
      <c r="AO242" s="57"/>
      <c r="AP242" s="57"/>
      <c r="AQ242" s="57"/>
      <c r="AR242" s="57"/>
      <c r="AS242" s="57"/>
    </row>
    <row r="243" spans="1:45" hidden="1" x14ac:dyDescent="0.3">
      <c r="A243" s="45" t="s">
        <v>32</v>
      </c>
      <c r="B243" s="214"/>
      <c r="C243" s="217">
        <v>0.2</v>
      </c>
      <c r="E243" s="45"/>
      <c r="F243" s="217">
        <v>0.65</v>
      </c>
      <c r="G243" s="57" t="s">
        <v>6</v>
      </c>
      <c r="H243" s="45">
        <v>2019</v>
      </c>
      <c r="AG243" s="45"/>
      <c r="AH243" s="45"/>
      <c r="AI243" s="45"/>
    </row>
    <row r="244" spans="1:45" hidden="1" x14ac:dyDescent="0.3">
      <c r="A244" s="45" t="s">
        <v>27</v>
      </c>
      <c r="B244" s="214"/>
      <c r="C244" s="217">
        <v>0.6</v>
      </c>
      <c r="E244" s="45"/>
      <c r="F244" s="217">
        <v>0.65</v>
      </c>
      <c r="G244" s="45" t="s">
        <v>26</v>
      </c>
      <c r="H244" s="45">
        <v>2019</v>
      </c>
      <c r="AG244" s="45"/>
      <c r="AH244" s="45"/>
      <c r="AI244" s="45"/>
    </row>
    <row r="245" spans="1:45" hidden="1" x14ac:dyDescent="0.3">
      <c r="A245" s="124" t="s">
        <v>3</v>
      </c>
      <c r="B245" s="84"/>
      <c r="C245" s="57"/>
      <c r="E245" s="215"/>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6"/>
      <c r="AH245" s="56"/>
      <c r="AI245" s="56"/>
      <c r="AJ245" s="57"/>
      <c r="AK245" s="57"/>
      <c r="AL245" s="57"/>
      <c r="AM245" s="57"/>
      <c r="AN245" s="57"/>
      <c r="AO245" s="57"/>
      <c r="AP245" s="57"/>
      <c r="AQ245" s="57"/>
      <c r="AR245" s="57"/>
      <c r="AS245" s="57"/>
    </row>
    <row r="246" spans="1:45" hidden="1" x14ac:dyDescent="0.3">
      <c r="A246" s="124" t="s">
        <v>4</v>
      </c>
      <c r="B246" s="84"/>
      <c r="C246" s="57"/>
      <c r="E246" s="125"/>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6"/>
      <c r="AH246" s="56"/>
      <c r="AI246" s="56"/>
      <c r="AJ246" s="57"/>
      <c r="AK246" s="57"/>
      <c r="AL246" s="57"/>
      <c r="AM246" s="57"/>
      <c r="AN246" s="57"/>
      <c r="AO246" s="57"/>
      <c r="AP246" s="57"/>
      <c r="AQ246" s="57"/>
      <c r="AR246" s="57"/>
      <c r="AS246" s="57"/>
    </row>
    <row r="247" spans="1:45" hidden="1" x14ac:dyDescent="0.3">
      <c r="A247" s="45" t="s">
        <v>373</v>
      </c>
      <c r="B247" s="214"/>
      <c r="C247" s="218">
        <v>2.96</v>
      </c>
      <c r="D247" s="218"/>
      <c r="E247" s="218"/>
      <c r="F247" s="218">
        <v>4.83</v>
      </c>
      <c r="G247" s="57"/>
      <c r="AG247" s="45"/>
      <c r="AH247" s="45"/>
      <c r="AI247" s="45"/>
    </row>
    <row r="248" spans="1:45" hidden="1" x14ac:dyDescent="0.3">
      <c r="A248" s="45" t="s">
        <v>459</v>
      </c>
      <c r="B248" s="214" t="s">
        <v>86</v>
      </c>
      <c r="C248" s="219">
        <v>2.5</v>
      </c>
      <c r="D248" s="219">
        <v>3.5</v>
      </c>
      <c r="E248" s="219">
        <v>6.1</v>
      </c>
      <c r="F248" s="57">
        <v>30</v>
      </c>
      <c r="G248" s="57" t="s">
        <v>6</v>
      </c>
      <c r="H248" s="45">
        <v>2019</v>
      </c>
      <c r="AG248" s="45"/>
      <c r="AH248" s="45"/>
      <c r="AI248" s="45"/>
    </row>
    <row r="249" spans="1:45" s="127" customFormat="1" hidden="1" x14ac:dyDescent="0.3">
      <c r="A249" s="126" t="s">
        <v>20</v>
      </c>
      <c r="B249" s="84"/>
      <c r="C249" s="220">
        <v>2.4</v>
      </c>
      <c r="D249" s="220"/>
      <c r="E249" s="220"/>
      <c r="F249" s="220">
        <v>6</v>
      </c>
      <c r="G249" s="44" t="s">
        <v>6</v>
      </c>
      <c r="H249" s="127">
        <v>2019</v>
      </c>
    </row>
    <row r="250" spans="1:45" s="127" customFormat="1" hidden="1" x14ac:dyDescent="0.3">
      <c r="A250" s="126" t="s">
        <v>20</v>
      </c>
      <c r="B250" s="84"/>
      <c r="C250" s="220">
        <f>8/12</f>
        <v>0.66666666666666663</v>
      </c>
      <c r="D250" s="220"/>
      <c r="E250" s="220">
        <f>80/12</f>
        <v>6.666666666666667</v>
      </c>
      <c r="F250" s="220">
        <f>263/12</f>
        <v>21.916666666666668</v>
      </c>
      <c r="G250" s="44" t="s">
        <v>26</v>
      </c>
      <c r="H250" s="127">
        <v>2018</v>
      </c>
    </row>
    <row r="251" spans="1:45" hidden="1" x14ac:dyDescent="0.3">
      <c r="A251" s="45" t="s">
        <v>147</v>
      </c>
      <c r="B251" s="84" t="str">
        <f>B24</f>
        <v>NGN</v>
      </c>
      <c r="C251" s="57"/>
      <c r="E251" s="215"/>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6"/>
      <c r="AH251" s="56"/>
      <c r="AI251" s="56"/>
      <c r="AJ251" s="57"/>
      <c r="AK251" s="57"/>
      <c r="AL251" s="57"/>
      <c r="AM251" s="57"/>
      <c r="AN251" s="57"/>
      <c r="AO251" s="57"/>
      <c r="AP251" s="57"/>
      <c r="AQ251" s="57"/>
      <c r="AR251" s="57"/>
      <c r="AS251" s="57"/>
    </row>
    <row r="252" spans="1:45" hidden="1" x14ac:dyDescent="0.3">
      <c r="A252" s="45" t="s">
        <v>23</v>
      </c>
      <c r="B252" s="45"/>
      <c r="C252" s="218">
        <v>0.49</v>
      </c>
      <c r="D252" s="218"/>
      <c r="E252" s="218"/>
      <c r="F252" s="218">
        <v>0.68</v>
      </c>
      <c r="G252" s="57" t="s">
        <v>24</v>
      </c>
      <c r="H252" s="45">
        <v>2020</v>
      </c>
      <c r="AG252" s="45"/>
      <c r="AH252" s="45"/>
      <c r="AI252" s="45"/>
    </row>
    <row r="253" spans="1:45" hidden="1" x14ac:dyDescent="0.3">
      <c r="A253" s="45" t="s">
        <v>25</v>
      </c>
      <c r="B253" s="45"/>
      <c r="C253" s="218">
        <v>0.89</v>
      </c>
      <c r="D253" s="218"/>
      <c r="E253" s="218"/>
      <c r="F253" s="218">
        <v>1.28</v>
      </c>
      <c r="G253" s="57" t="s">
        <v>24</v>
      </c>
      <c r="H253" s="45">
        <v>2020</v>
      </c>
      <c r="AG253" s="45"/>
      <c r="AH253" s="45"/>
      <c r="AI253" s="45"/>
    </row>
    <row r="254" spans="1:45" hidden="1" x14ac:dyDescent="0.3">
      <c r="A254" s="45" t="s">
        <v>33</v>
      </c>
      <c r="B254" s="45"/>
      <c r="C254" s="218">
        <v>0.55000000000000004</v>
      </c>
      <c r="D254" s="218">
        <v>0.66</v>
      </c>
      <c r="E254" s="218"/>
      <c r="F254" s="218">
        <v>0.85</v>
      </c>
      <c r="G254" s="57" t="s">
        <v>26</v>
      </c>
      <c r="H254" s="45">
        <v>2019</v>
      </c>
      <c r="AG254" s="45"/>
      <c r="AH254" s="45"/>
      <c r="AI254" s="45"/>
    </row>
    <row r="255" spans="1:45" hidden="1" x14ac:dyDescent="0.3">
      <c r="A255" s="45" t="s">
        <v>450</v>
      </c>
      <c r="B255" s="47"/>
      <c r="C255" s="57"/>
      <c r="E255" s="45"/>
      <c r="G255" s="57"/>
      <c r="AG255" s="45"/>
      <c r="AH255" s="45"/>
      <c r="AI255" s="45"/>
    </row>
    <row r="256" spans="1:45" hidden="1" x14ac:dyDescent="0.3">
      <c r="A256" s="45" t="s">
        <v>248</v>
      </c>
      <c r="B256" s="84"/>
    </row>
    <row r="257" spans="1:35" hidden="1" x14ac:dyDescent="0.3">
      <c r="A257" s="45" t="s">
        <v>375</v>
      </c>
      <c r="B257" s="45"/>
      <c r="C257" s="57" t="s">
        <v>21</v>
      </c>
      <c r="E257" s="217">
        <v>0.5</v>
      </c>
      <c r="G257" s="57" t="s">
        <v>6</v>
      </c>
      <c r="H257" s="45">
        <v>2019</v>
      </c>
      <c r="AG257" s="45"/>
      <c r="AH257" s="45"/>
      <c r="AI257" s="45"/>
    </row>
    <row r="258" spans="1:35" hidden="1" x14ac:dyDescent="0.3">
      <c r="A258" s="45" t="s">
        <v>22</v>
      </c>
      <c r="B258" s="45"/>
      <c r="C258" s="45">
        <v>0.14000000000000001</v>
      </c>
      <c r="E258" s="45"/>
      <c r="F258" s="45">
        <v>0.16</v>
      </c>
      <c r="G258" s="57" t="s">
        <v>6</v>
      </c>
      <c r="H258" s="45">
        <v>2019</v>
      </c>
      <c r="AG258" s="45"/>
      <c r="AH258" s="45"/>
      <c r="AI258" s="45"/>
    </row>
    <row r="259" spans="1:35" hidden="1" x14ac:dyDescent="0.3">
      <c r="A259" s="45" t="s">
        <v>36</v>
      </c>
      <c r="B259" s="45"/>
      <c r="C259" s="217"/>
      <c r="E259" s="45"/>
      <c r="F259" s="217"/>
      <c r="G259" s="57" t="s">
        <v>30</v>
      </c>
      <c r="H259" s="45">
        <v>2019</v>
      </c>
      <c r="AG259" s="45"/>
      <c r="AH259" s="45"/>
      <c r="AI259" s="45"/>
    </row>
    <row r="260" spans="1:35" hidden="1" x14ac:dyDescent="0.3">
      <c r="A260" s="45" t="s">
        <v>29</v>
      </c>
      <c r="B260" s="45"/>
      <c r="C260" s="217">
        <v>0.35</v>
      </c>
      <c r="E260" s="45"/>
      <c r="F260" s="217">
        <v>0.4</v>
      </c>
      <c r="G260" s="57" t="s">
        <v>30</v>
      </c>
      <c r="H260" s="45">
        <v>2019</v>
      </c>
      <c r="AG260" s="45"/>
      <c r="AH260" s="45"/>
      <c r="AI260" s="45"/>
    </row>
    <row r="261" spans="1:35" hidden="1" x14ac:dyDescent="0.3">
      <c r="A261" s="45" t="s">
        <v>34</v>
      </c>
      <c r="B261" s="45"/>
      <c r="C261" s="57"/>
      <c r="E261" s="45"/>
      <c r="G261" s="57"/>
      <c r="AG261" s="45"/>
      <c r="AH261" s="45"/>
      <c r="AI261" s="45"/>
    </row>
    <row r="262" spans="1:35" hidden="1" x14ac:dyDescent="0.3">
      <c r="A262" s="45" t="s">
        <v>31</v>
      </c>
      <c r="B262" s="45"/>
      <c r="C262" s="57"/>
      <c r="E262" s="45"/>
      <c r="G262" s="57"/>
      <c r="AG262" s="45"/>
      <c r="AH262" s="45"/>
      <c r="AI262" s="45"/>
    </row>
    <row r="263" spans="1:35" s="47" customFormat="1" ht="13.8" hidden="1" x14ac:dyDescent="0.3">
      <c r="B263" s="61"/>
      <c r="E263" s="85"/>
      <c r="AG263" s="85"/>
      <c r="AH263" s="85"/>
      <c r="AI263" s="85"/>
    </row>
    <row r="264" spans="1:35" x14ac:dyDescent="0.3">
      <c r="A264" s="63" t="s">
        <v>8</v>
      </c>
      <c r="B264" s="45"/>
      <c r="C264" s="57"/>
      <c r="E264" s="45"/>
      <c r="G264" s="45" t="s">
        <v>6</v>
      </c>
      <c r="AG264" s="45"/>
      <c r="AH264" s="45"/>
      <c r="AI264" s="45"/>
    </row>
    <row r="265" spans="1:35" s="47" customFormat="1" ht="13.8" x14ac:dyDescent="0.3">
      <c r="C265" s="61"/>
      <c r="F265" s="85"/>
      <c r="AD265" s="85"/>
      <c r="AE265" s="85"/>
      <c r="AF265" s="85"/>
    </row>
    <row r="266" spans="1:35" s="47" customFormat="1" ht="13.8" x14ac:dyDescent="0.3">
      <c r="C266" s="61"/>
      <c r="F266" s="85"/>
      <c r="AD266" s="85"/>
      <c r="AE266" s="85"/>
      <c r="AF266" s="85"/>
    </row>
    <row r="267" spans="1:35" s="47" customFormat="1" ht="13.8" x14ac:dyDescent="0.3">
      <c r="C267" s="61"/>
      <c r="F267" s="85"/>
      <c r="AD267" s="85"/>
      <c r="AE267" s="85"/>
      <c r="AF267" s="85"/>
    </row>
    <row r="268" spans="1:35" s="47" customFormat="1" ht="13.8" x14ac:dyDescent="0.3">
      <c r="C268" s="61"/>
      <c r="F268" s="85"/>
      <c r="AD268" s="85"/>
      <c r="AE268" s="85"/>
      <c r="AF268" s="85"/>
    </row>
    <row r="269" spans="1:35" s="47" customFormat="1" ht="13.8" x14ac:dyDescent="0.3">
      <c r="C269" s="61"/>
      <c r="F269" s="85"/>
      <c r="AD269" s="85"/>
      <c r="AE269" s="85"/>
      <c r="AF269" s="85"/>
    </row>
    <row r="270" spans="1:35" s="47" customFormat="1" ht="13.8" x14ac:dyDescent="0.3">
      <c r="C270" s="61"/>
      <c r="F270" s="85"/>
      <c r="AD270" s="85"/>
      <c r="AE270" s="85"/>
      <c r="AF270" s="85"/>
    </row>
    <row r="271" spans="1:35" s="47" customFormat="1" ht="13.8" x14ac:dyDescent="0.3">
      <c r="C271" s="61"/>
      <c r="F271" s="85"/>
      <c r="AD271" s="85"/>
      <c r="AE271" s="85"/>
      <c r="AF271" s="85"/>
    </row>
    <row r="272" spans="1:35" s="47" customFormat="1" ht="13.8" x14ac:dyDescent="0.3">
      <c r="C272" s="61"/>
      <c r="F272" s="85"/>
      <c r="AD272" s="85"/>
      <c r="AE272" s="85"/>
      <c r="AF272" s="85"/>
    </row>
    <row r="273" spans="1:45" s="47" customFormat="1" ht="13.8" x14ac:dyDescent="0.3">
      <c r="C273" s="61"/>
      <c r="F273" s="85"/>
      <c r="AD273" s="85"/>
      <c r="AE273" s="85"/>
      <c r="AF273" s="85"/>
    </row>
    <row r="274" spans="1:45" s="47" customFormat="1" ht="13.8" x14ac:dyDescent="0.3">
      <c r="C274" s="61"/>
      <c r="F274" s="85"/>
      <c r="AD274" s="85"/>
      <c r="AE274" s="85"/>
      <c r="AF274" s="85"/>
    </row>
    <row r="275" spans="1:45" s="47" customFormat="1" ht="13.8" x14ac:dyDescent="0.3">
      <c r="C275" s="61"/>
      <c r="F275" s="85"/>
      <c r="AD275" s="85"/>
      <c r="AE275" s="85"/>
      <c r="AF275" s="85"/>
    </row>
    <row r="276" spans="1:45" s="47" customFormat="1" ht="13.8" x14ac:dyDescent="0.3">
      <c r="C276" s="61"/>
      <c r="F276" s="85"/>
      <c r="AD276" s="85"/>
      <c r="AE276" s="85"/>
      <c r="AF276" s="85"/>
    </row>
    <row r="277" spans="1:45" s="47" customFormat="1" ht="13.8" x14ac:dyDescent="0.3">
      <c r="C277" s="61"/>
      <c r="F277" s="85"/>
      <c r="AD277" s="85"/>
      <c r="AE277" s="85"/>
      <c r="AF277" s="85"/>
    </row>
    <row r="278" spans="1:45" s="47" customFormat="1" ht="13.8" x14ac:dyDescent="0.3">
      <c r="C278" s="61"/>
      <c r="F278" s="85"/>
      <c r="AD278" s="85"/>
      <c r="AE278" s="85"/>
      <c r="AF278" s="85"/>
    </row>
    <row r="279" spans="1:45" s="47" customFormat="1" ht="13.8" x14ac:dyDescent="0.3">
      <c r="C279" s="61"/>
      <c r="F279" s="85"/>
      <c r="AD279" s="85"/>
      <c r="AE279" s="85"/>
      <c r="AF279" s="85"/>
    </row>
    <row r="280" spans="1:45" s="47" customFormat="1" ht="13.8" x14ac:dyDescent="0.3">
      <c r="B280" s="61"/>
      <c r="E280" s="85"/>
      <c r="AC280" s="85"/>
      <c r="AD280" s="85"/>
      <c r="AE280" s="85"/>
    </row>
    <row r="281" spans="1:45" s="47" customFormat="1" ht="13.8" x14ac:dyDescent="0.3">
      <c r="B281" s="61"/>
      <c r="E281" s="85"/>
      <c r="AC281" s="85"/>
      <c r="AD281" s="85"/>
      <c r="AE281" s="85"/>
    </row>
    <row r="282" spans="1:45" x14ac:dyDescent="0.3">
      <c r="A282" s="124" t="s">
        <v>149</v>
      </c>
      <c r="B282" s="84" t="str">
        <f>B60</f>
        <v>NGN</v>
      </c>
      <c r="C282" s="57"/>
      <c r="E282" s="125"/>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6"/>
      <c r="AH282" s="56"/>
      <c r="AI282" s="56"/>
      <c r="AJ282" s="57"/>
      <c r="AK282" s="57"/>
      <c r="AL282" s="57"/>
      <c r="AM282" s="57"/>
      <c r="AN282" s="57"/>
      <c r="AO282" s="57"/>
      <c r="AP282" s="57"/>
      <c r="AQ282" s="57"/>
      <c r="AR282" s="57"/>
      <c r="AS282" s="57"/>
    </row>
    <row r="283" spans="1:45" s="47" customFormat="1" ht="13.8" x14ac:dyDescent="0.3">
      <c r="B283" s="61"/>
      <c r="E283" s="85"/>
      <c r="AC283" s="85"/>
      <c r="AD283" s="85"/>
      <c r="AE283" s="85"/>
    </row>
    <row r="284" spans="1:45" s="47" customFormat="1" ht="13.8" x14ac:dyDescent="0.3">
      <c r="B284" s="61"/>
      <c r="E284" s="85"/>
      <c r="AC284" s="85"/>
      <c r="AD284" s="85"/>
      <c r="AE284" s="85"/>
    </row>
    <row r="285" spans="1:45" s="47" customFormat="1" ht="13.8" x14ac:dyDescent="0.3">
      <c r="B285" s="61"/>
      <c r="E285" s="85"/>
      <c r="AC285" s="85"/>
      <c r="AD285" s="85"/>
      <c r="AE285" s="85"/>
    </row>
    <row r="286" spans="1:45" s="47" customFormat="1" ht="13.8" x14ac:dyDescent="0.3">
      <c r="B286" s="61"/>
      <c r="E286" s="85"/>
      <c r="AC286" s="85"/>
      <c r="AD286" s="85"/>
      <c r="AE286" s="85"/>
    </row>
    <row r="287" spans="1:45" s="47" customFormat="1" ht="13.8" x14ac:dyDescent="0.3">
      <c r="B287" s="61"/>
      <c r="E287" s="85"/>
      <c r="AC287" s="85"/>
      <c r="AD287" s="85"/>
      <c r="AE287" s="85"/>
    </row>
    <row r="288" spans="1:45" s="47" customFormat="1" ht="13.8" x14ac:dyDescent="0.3">
      <c r="B288" s="61"/>
      <c r="E288" s="85"/>
      <c r="AC288" s="85"/>
      <c r="AD288" s="85"/>
      <c r="AE288" s="85"/>
    </row>
    <row r="289" spans="2:35" s="47" customFormat="1" ht="13.8" x14ac:dyDescent="0.3">
      <c r="B289" s="61"/>
      <c r="E289" s="85"/>
      <c r="AC289" s="85"/>
      <c r="AD289" s="85"/>
      <c r="AE289" s="85"/>
    </row>
    <row r="290" spans="2:35" s="47" customFormat="1" ht="13.8" x14ac:dyDescent="0.3">
      <c r="B290" s="61"/>
      <c r="E290" s="85"/>
      <c r="AG290" s="85"/>
      <c r="AH290" s="85"/>
      <c r="AI290" s="85"/>
    </row>
    <row r="291" spans="2:35" s="47" customFormat="1" ht="13.8" x14ac:dyDescent="0.3">
      <c r="B291" s="61"/>
      <c r="E291" s="85"/>
      <c r="AG291" s="85"/>
      <c r="AH291" s="85"/>
      <c r="AI291" s="85"/>
    </row>
    <row r="292" spans="2:35" s="47" customFormat="1" ht="13.8" x14ac:dyDescent="0.3">
      <c r="B292" s="61"/>
      <c r="E292" s="85"/>
      <c r="AG292" s="85"/>
      <c r="AH292" s="85"/>
      <c r="AI292" s="85"/>
    </row>
    <row r="293" spans="2:35" s="47" customFormat="1" ht="13.8" x14ac:dyDescent="0.3">
      <c r="B293" s="61"/>
      <c r="E293" s="85"/>
      <c r="AG293" s="85"/>
      <c r="AH293" s="85"/>
      <c r="AI293" s="85"/>
    </row>
    <row r="294" spans="2:35" s="47" customFormat="1" ht="13.8" x14ac:dyDescent="0.3">
      <c r="B294" s="61"/>
      <c r="E294" s="85"/>
      <c r="AG294" s="85"/>
      <c r="AH294" s="85"/>
      <c r="AI294" s="85"/>
    </row>
    <row r="295" spans="2:35" s="47" customFormat="1" ht="13.8" x14ac:dyDescent="0.3">
      <c r="B295" s="61"/>
      <c r="E295" s="85"/>
      <c r="AG295" s="85"/>
      <c r="AH295" s="85"/>
      <c r="AI295" s="85"/>
    </row>
    <row r="296" spans="2:35" s="47" customFormat="1" ht="13.8" x14ac:dyDescent="0.3">
      <c r="B296" s="61"/>
      <c r="E296" s="85"/>
      <c r="AG296" s="85"/>
      <c r="AH296" s="85"/>
      <c r="AI296" s="85"/>
    </row>
    <row r="297" spans="2:35" s="47" customFormat="1" ht="13.8" x14ac:dyDescent="0.3">
      <c r="B297" s="61"/>
      <c r="E297" s="85"/>
      <c r="AG297" s="85"/>
      <c r="AH297" s="85"/>
      <c r="AI297" s="85"/>
    </row>
    <row r="298" spans="2:35" s="47" customFormat="1" ht="13.8" x14ac:dyDescent="0.3">
      <c r="B298" s="61"/>
      <c r="E298" s="85"/>
      <c r="AG298" s="85"/>
      <c r="AH298" s="85"/>
      <c r="AI298" s="85"/>
    </row>
    <row r="299" spans="2:35" s="47" customFormat="1" ht="13.8" x14ac:dyDescent="0.3">
      <c r="B299" s="61"/>
      <c r="E299" s="85"/>
      <c r="AG299" s="85"/>
      <c r="AH299" s="85"/>
      <c r="AI299" s="85"/>
    </row>
    <row r="300" spans="2:35" s="47" customFormat="1" ht="13.8" x14ac:dyDescent="0.3">
      <c r="B300" s="61"/>
      <c r="E300" s="85"/>
      <c r="AG300" s="85"/>
      <c r="AH300" s="85"/>
      <c r="AI300" s="85"/>
    </row>
    <row r="301" spans="2:35" s="47" customFormat="1" ht="13.8" x14ac:dyDescent="0.3">
      <c r="B301" s="61"/>
      <c r="E301" s="85"/>
      <c r="AG301" s="85"/>
      <c r="AH301" s="85"/>
      <c r="AI301" s="85"/>
    </row>
    <row r="302" spans="2:35" s="47" customFormat="1" ht="13.8" x14ac:dyDescent="0.3">
      <c r="B302" s="61"/>
      <c r="E302" s="85"/>
      <c r="AG302" s="85"/>
      <c r="AH302" s="85"/>
      <c r="AI302" s="85"/>
    </row>
    <row r="303" spans="2:35" s="47" customFormat="1" ht="13.8" x14ac:dyDescent="0.3">
      <c r="B303" s="61"/>
      <c r="E303" s="85"/>
      <c r="AG303" s="85"/>
      <c r="AH303" s="85"/>
      <c r="AI303" s="85"/>
    </row>
    <row r="304" spans="2:35" s="47" customFormat="1" ht="13.8" x14ac:dyDescent="0.3">
      <c r="B304" s="61"/>
      <c r="E304" s="85"/>
      <c r="AG304" s="85"/>
      <c r="AH304" s="85"/>
      <c r="AI304" s="85"/>
    </row>
    <row r="305" spans="2:35" s="47" customFormat="1" ht="13.8" x14ac:dyDescent="0.3">
      <c r="B305" s="61"/>
      <c r="E305" s="85"/>
      <c r="AG305" s="85"/>
      <c r="AH305" s="85"/>
      <c r="AI305" s="85"/>
    </row>
    <row r="306" spans="2:35" s="47" customFormat="1" ht="13.8" x14ac:dyDescent="0.3">
      <c r="B306" s="61"/>
      <c r="E306" s="85"/>
      <c r="AG306" s="85"/>
      <c r="AH306" s="85"/>
      <c r="AI306" s="85"/>
    </row>
    <row r="307" spans="2:35" s="47" customFormat="1" ht="13.8" x14ac:dyDescent="0.3">
      <c r="B307" s="61"/>
      <c r="E307" s="85"/>
      <c r="AG307" s="85"/>
      <c r="AH307" s="85"/>
      <c r="AI307" s="85"/>
    </row>
    <row r="308" spans="2:35" s="47" customFormat="1" ht="13.8" x14ac:dyDescent="0.3">
      <c r="B308" s="61"/>
      <c r="E308" s="85"/>
      <c r="AG308" s="85"/>
      <c r="AH308" s="85"/>
      <c r="AI308" s="85"/>
    </row>
    <row r="309" spans="2:35" s="47" customFormat="1" ht="13.8" x14ac:dyDescent="0.3">
      <c r="B309" s="61"/>
      <c r="E309" s="85"/>
      <c r="AG309" s="85"/>
      <c r="AH309" s="85"/>
      <c r="AI309" s="85"/>
    </row>
    <row r="310" spans="2:35" s="47" customFormat="1" ht="13.8" x14ac:dyDescent="0.3">
      <c r="B310" s="61"/>
      <c r="E310" s="85"/>
      <c r="AG310" s="85"/>
      <c r="AH310" s="85"/>
      <c r="AI310" s="85"/>
    </row>
    <row r="311" spans="2:35" s="47" customFormat="1" ht="13.8" x14ac:dyDescent="0.3">
      <c r="B311" s="61"/>
      <c r="E311" s="85"/>
      <c r="AG311" s="85"/>
      <c r="AH311" s="85"/>
      <c r="AI311" s="85"/>
    </row>
    <row r="312" spans="2:35" s="47" customFormat="1" ht="13.8" x14ac:dyDescent="0.3">
      <c r="B312" s="61"/>
      <c r="E312" s="85"/>
      <c r="AG312" s="85"/>
      <c r="AH312" s="85"/>
      <c r="AI312" s="85"/>
    </row>
    <row r="313" spans="2:35" s="47" customFormat="1" ht="13.8" x14ac:dyDescent="0.3">
      <c r="B313" s="61"/>
      <c r="E313" s="85"/>
      <c r="AG313" s="85"/>
      <c r="AH313" s="85"/>
      <c r="AI313" s="85"/>
    </row>
    <row r="314" spans="2:35" s="47" customFormat="1" ht="13.8" x14ac:dyDescent="0.3">
      <c r="B314" s="61"/>
      <c r="E314" s="85"/>
      <c r="AG314" s="85"/>
      <c r="AH314" s="85"/>
      <c r="AI314" s="85"/>
    </row>
    <row r="315" spans="2:35" s="47" customFormat="1" ht="13.8" x14ac:dyDescent="0.3">
      <c r="B315" s="61"/>
      <c r="E315" s="85"/>
      <c r="AG315" s="85"/>
      <c r="AH315" s="85"/>
      <c r="AI315" s="85"/>
    </row>
    <row r="316" spans="2:35" s="47" customFormat="1" ht="13.8" x14ac:dyDescent="0.3">
      <c r="B316" s="61"/>
      <c r="E316" s="85"/>
      <c r="AG316" s="85"/>
      <c r="AH316" s="85"/>
      <c r="AI316" s="85"/>
    </row>
    <row r="317" spans="2:35" s="47" customFormat="1" ht="13.8" x14ac:dyDescent="0.3">
      <c r="B317" s="61"/>
      <c r="E317" s="85"/>
      <c r="AG317" s="85"/>
      <c r="AH317" s="85"/>
      <c r="AI317" s="85"/>
    </row>
    <row r="318" spans="2:35" s="47" customFormat="1" ht="13.8" x14ac:dyDescent="0.3">
      <c r="B318" s="61"/>
      <c r="E318" s="85"/>
      <c r="AG318" s="85"/>
      <c r="AH318" s="85"/>
      <c r="AI318" s="85"/>
    </row>
    <row r="319" spans="2:35" s="47" customFormat="1" ht="13.8" x14ac:dyDescent="0.3">
      <c r="B319" s="61"/>
      <c r="E319" s="85"/>
      <c r="AG319" s="85"/>
      <c r="AH319" s="85"/>
      <c r="AI319" s="85"/>
    </row>
    <row r="320" spans="2:35" s="47" customFormat="1" ht="13.8" x14ac:dyDescent="0.3">
      <c r="B320" s="61"/>
      <c r="E320" s="85"/>
      <c r="AG320" s="85"/>
      <c r="AH320" s="85"/>
      <c r="AI320" s="85"/>
    </row>
    <row r="321" spans="2:35" s="47" customFormat="1" ht="13.8" x14ac:dyDescent="0.3">
      <c r="B321" s="61"/>
      <c r="E321" s="85"/>
      <c r="AG321" s="85"/>
      <c r="AH321" s="85"/>
      <c r="AI321" s="85"/>
    </row>
    <row r="322" spans="2:35" s="47" customFormat="1" ht="13.8" x14ac:dyDescent="0.3">
      <c r="B322" s="61"/>
      <c r="E322" s="85"/>
      <c r="AG322" s="85"/>
      <c r="AH322" s="85"/>
      <c r="AI322" s="85"/>
    </row>
    <row r="323" spans="2:35" s="47" customFormat="1" ht="13.8" x14ac:dyDescent="0.3">
      <c r="B323" s="61"/>
      <c r="E323" s="85"/>
      <c r="AG323" s="85"/>
      <c r="AH323" s="85"/>
      <c r="AI323" s="85"/>
    </row>
    <row r="324" spans="2:35" s="47" customFormat="1" ht="13.8" x14ac:dyDescent="0.3">
      <c r="B324" s="61"/>
      <c r="E324" s="85"/>
      <c r="AG324" s="85"/>
      <c r="AH324" s="85"/>
      <c r="AI324" s="85"/>
    </row>
    <row r="325" spans="2:35" s="47" customFormat="1" ht="13.8" x14ac:dyDescent="0.3">
      <c r="B325" s="61"/>
      <c r="E325" s="85"/>
      <c r="AG325" s="85"/>
      <c r="AH325" s="85"/>
      <c r="AI325" s="85"/>
    </row>
    <row r="326" spans="2:35" s="47" customFormat="1" ht="13.8" x14ac:dyDescent="0.3">
      <c r="B326" s="61"/>
      <c r="E326" s="85"/>
      <c r="AG326" s="85"/>
      <c r="AH326" s="85"/>
      <c r="AI326" s="85"/>
    </row>
    <row r="327" spans="2:35" s="47" customFormat="1" ht="13.8" x14ac:dyDescent="0.3">
      <c r="B327" s="61"/>
      <c r="E327" s="85"/>
      <c r="AG327" s="85"/>
      <c r="AH327" s="85"/>
      <c r="AI327" s="85"/>
    </row>
    <row r="328" spans="2:35" s="47" customFormat="1" ht="13.8" x14ac:dyDescent="0.3">
      <c r="B328" s="61"/>
      <c r="E328" s="85"/>
      <c r="AG328" s="85"/>
      <c r="AH328" s="85"/>
      <c r="AI328" s="85"/>
    </row>
    <row r="329" spans="2:35" s="47" customFormat="1" ht="13.8" x14ac:dyDescent="0.3">
      <c r="B329" s="61"/>
      <c r="E329" s="85"/>
      <c r="AG329" s="85"/>
      <c r="AH329" s="85"/>
      <c r="AI329" s="85"/>
    </row>
    <row r="330" spans="2:35" s="47" customFormat="1" ht="13.8" x14ac:dyDescent="0.3">
      <c r="B330" s="61"/>
      <c r="E330" s="85"/>
      <c r="AG330" s="85"/>
      <c r="AH330" s="85"/>
      <c r="AI330" s="85"/>
    </row>
    <row r="331" spans="2:35" s="47" customFormat="1" ht="13.8" x14ac:dyDescent="0.3">
      <c r="B331" s="61"/>
      <c r="E331" s="85"/>
      <c r="AG331" s="85"/>
      <c r="AH331" s="85"/>
      <c r="AI331" s="85"/>
    </row>
    <row r="332" spans="2:35" s="47" customFormat="1" ht="13.8" x14ac:dyDescent="0.3">
      <c r="B332" s="61"/>
      <c r="E332" s="85"/>
      <c r="AG332" s="85"/>
      <c r="AH332" s="85"/>
      <c r="AI332" s="85"/>
    </row>
    <row r="333" spans="2:35" s="47" customFormat="1" ht="13.8" x14ac:dyDescent="0.3">
      <c r="B333" s="61"/>
      <c r="E333" s="85"/>
      <c r="AG333" s="85"/>
      <c r="AH333" s="85"/>
      <c r="AI333" s="85"/>
    </row>
    <row r="334" spans="2:35" s="47" customFormat="1" ht="13.8" x14ac:dyDescent="0.3">
      <c r="B334" s="61"/>
      <c r="E334" s="85"/>
      <c r="AG334" s="85"/>
      <c r="AH334" s="85"/>
      <c r="AI334" s="85"/>
    </row>
    <row r="335" spans="2:35" s="47" customFormat="1" ht="13.8" x14ac:dyDescent="0.3">
      <c r="B335" s="61"/>
      <c r="E335" s="85"/>
      <c r="AG335" s="85"/>
      <c r="AH335" s="85"/>
      <c r="AI335" s="85"/>
    </row>
    <row r="336" spans="2:35" s="47" customFormat="1" ht="13.8" x14ac:dyDescent="0.3">
      <c r="B336" s="61"/>
      <c r="E336" s="85"/>
      <c r="AG336" s="85"/>
      <c r="AH336" s="85"/>
      <c r="AI336" s="85"/>
    </row>
    <row r="337" spans="2:35" s="47" customFormat="1" ht="13.8" x14ac:dyDescent="0.3">
      <c r="B337" s="61"/>
      <c r="E337" s="85"/>
      <c r="AG337" s="85"/>
      <c r="AH337" s="85"/>
      <c r="AI337" s="85"/>
    </row>
    <row r="338" spans="2:35" s="47" customFormat="1" ht="13.8" x14ac:dyDescent="0.3">
      <c r="B338" s="61"/>
      <c r="E338" s="85"/>
      <c r="AG338" s="85"/>
      <c r="AH338" s="85"/>
      <c r="AI338" s="85"/>
    </row>
    <row r="339" spans="2:35" s="47" customFormat="1" ht="13.8" x14ac:dyDescent="0.3">
      <c r="B339" s="61"/>
      <c r="E339" s="85"/>
      <c r="AG339" s="85"/>
      <c r="AH339" s="85"/>
      <c r="AI339" s="85"/>
    </row>
    <row r="340" spans="2:35" s="47" customFormat="1" ht="13.8" x14ac:dyDescent="0.3">
      <c r="B340" s="61"/>
      <c r="E340" s="85"/>
      <c r="AG340" s="85"/>
      <c r="AH340" s="85"/>
      <c r="AI340" s="85"/>
    </row>
    <row r="341" spans="2:35" s="47" customFormat="1" ht="13.8" x14ac:dyDescent="0.3">
      <c r="B341" s="61"/>
      <c r="E341" s="85"/>
      <c r="AG341" s="85"/>
      <c r="AH341" s="85"/>
      <c r="AI341" s="85"/>
    </row>
    <row r="342" spans="2:35" s="47" customFormat="1" ht="13.8" x14ac:dyDescent="0.3">
      <c r="B342" s="61"/>
      <c r="E342" s="85"/>
      <c r="AG342" s="85"/>
      <c r="AH342" s="85"/>
      <c r="AI342" s="85"/>
    </row>
    <row r="343" spans="2:35" s="47" customFormat="1" ht="13.8" x14ac:dyDescent="0.3">
      <c r="B343" s="61"/>
      <c r="E343" s="85"/>
      <c r="AG343" s="85"/>
      <c r="AH343" s="85"/>
      <c r="AI343" s="85"/>
    </row>
    <row r="344" spans="2:35" s="47" customFormat="1" ht="13.8" x14ac:dyDescent="0.3">
      <c r="B344" s="61"/>
      <c r="E344" s="85"/>
      <c r="AG344" s="85"/>
      <c r="AH344" s="85"/>
      <c r="AI344" s="85"/>
    </row>
    <row r="345" spans="2:35" s="47" customFormat="1" ht="13.8" x14ac:dyDescent="0.3">
      <c r="B345" s="61"/>
      <c r="E345" s="85"/>
      <c r="AG345" s="85"/>
      <c r="AH345" s="85"/>
      <c r="AI345" s="85"/>
    </row>
    <row r="346" spans="2:35" s="47" customFormat="1" ht="13.8" x14ac:dyDescent="0.3">
      <c r="B346" s="61"/>
      <c r="E346" s="85"/>
      <c r="AG346" s="85"/>
      <c r="AH346" s="85"/>
      <c r="AI346" s="85"/>
    </row>
    <row r="347" spans="2:35" s="47" customFormat="1" ht="13.8" x14ac:dyDescent="0.3">
      <c r="B347" s="61"/>
      <c r="E347" s="85"/>
      <c r="AG347" s="85"/>
      <c r="AH347" s="85"/>
      <c r="AI347" s="85"/>
    </row>
    <row r="348" spans="2:35" s="47" customFormat="1" ht="13.8" x14ac:dyDescent="0.3">
      <c r="B348" s="61"/>
      <c r="E348" s="85"/>
      <c r="AG348" s="85"/>
      <c r="AH348" s="85"/>
      <c r="AI348" s="85"/>
    </row>
    <row r="349" spans="2:35" s="47" customFormat="1" ht="13.8" x14ac:dyDescent="0.3">
      <c r="B349" s="61"/>
      <c r="E349" s="85"/>
      <c r="AG349" s="85"/>
      <c r="AH349" s="85"/>
      <c r="AI349" s="85"/>
    </row>
    <row r="350" spans="2:35" s="47" customFormat="1" ht="13.8" x14ac:dyDescent="0.3">
      <c r="B350" s="61"/>
      <c r="E350" s="85"/>
      <c r="AG350" s="85"/>
      <c r="AH350" s="85"/>
      <c r="AI350" s="85"/>
    </row>
    <row r="351" spans="2:35" s="47" customFormat="1" ht="13.8" x14ac:dyDescent="0.3">
      <c r="B351" s="61"/>
      <c r="E351" s="85"/>
      <c r="AG351" s="85"/>
      <c r="AH351" s="85"/>
      <c r="AI351" s="85"/>
    </row>
    <row r="352" spans="2:35" s="47" customFormat="1" ht="13.8" x14ac:dyDescent="0.3">
      <c r="B352" s="61"/>
      <c r="E352" s="85"/>
      <c r="AG352" s="85"/>
      <c r="AH352" s="85"/>
      <c r="AI352" s="85"/>
    </row>
    <row r="353" spans="2:35" s="47" customFormat="1" ht="13.8" x14ac:dyDescent="0.3">
      <c r="B353" s="61"/>
      <c r="E353" s="85"/>
      <c r="AG353" s="85"/>
      <c r="AH353" s="85"/>
      <c r="AI353" s="85"/>
    </row>
    <row r="354" spans="2:35" s="47" customFormat="1" ht="13.8" x14ac:dyDescent="0.3">
      <c r="B354" s="61"/>
      <c r="E354" s="85"/>
      <c r="AG354" s="85"/>
      <c r="AH354" s="85"/>
      <c r="AI354" s="85"/>
    </row>
    <row r="355" spans="2:35" s="47" customFormat="1" ht="13.8" x14ac:dyDescent="0.3">
      <c r="B355" s="61"/>
      <c r="E355" s="85"/>
      <c r="AG355" s="85"/>
      <c r="AH355" s="85"/>
      <c r="AI355" s="85"/>
    </row>
    <row r="356" spans="2:35" s="47" customFormat="1" ht="13.8" x14ac:dyDescent="0.3">
      <c r="B356" s="61"/>
      <c r="E356" s="85"/>
      <c r="AG356" s="85"/>
      <c r="AH356" s="85"/>
      <c r="AI356" s="85"/>
    </row>
    <row r="357" spans="2:35" s="47" customFormat="1" ht="13.8" x14ac:dyDescent="0.3">
      <c r="B357" s="61"/>
      <c r="E357" s="85"/>
      <c r="AG357" s="85"/>
      <c r="AH357" s="85"/>
      <c r="AI357" s="85"/>
    </row>
    <row r="358" spans="2:35" s="47" customFormat="1" ht="13.8" x14ac:dyDescent="0.3">
      <c r="B358" s="61"/>
      <c r="E358" s="85"/>
      <c r="AG358" s="85"/>
      <c r="AH358" s="85"/>
      <c r="AI358" s="85"/>
    </row>
    <row r="359" spans="2:35" s="47" customFormat="1" ht="13.8" x14ac:dyDescent="0.3">
      <c r="B359" s="61"/>
      <c r="E359" s="85"/>
      <c r="AG359" s="85"/>
      <c r="AH359" s="85"/>
      <c r="AI359" s="85"/>
    </row>
    <row r="360" spans="2:35" s="47" customFormat="1" ht="13.8" x14ac:dyDescent="0.3">
      <c r="B360" s="61"/>
      <c r="E360" s="85"/>
      <c r="AG360" s="85"/>
      <c r="AH360" s="85"/>
      <c r="AI360" s="85"/>
    </row>
    <row r="361" spans="2:35" s="47" customFormat="1" ht="13.8" x14ac:dyDescent="0.3">
      <c r="B361" s="61"/>
      <c r="E361" s="85"/>
      <c r="AG361" s="85"/>
      <c r="AH361" s="85"/>
      <c r="AI361" s="85"/>
    </row>
    <row r="362" spans="2:35" s="47" customFormat="1" ht="13.8" x14ac:dyDescent="0.3">
      <c r="B362" s="61"/>
      <c r="E362" s="85"/>
      <c r="AG362" s="85"/>
      <c r="AH362" s="85"/>
      <c r="AI362" s="85"/>
    </row>
    <row r="363" spans="2:35" s="47" customFormat="1" ht="13.8" x14ac:dyDescent="0.3">
      <c r="B363" s="61"/>
      <c r="E363" s="85"/>
      <c r="AG363" s="85"/>
      <c r="AH363" s="85"/>
      <c r="AI363" s="85"/>
    </row>
    <row r="364" spans="2:35" s="47" customFormat="1" ht="13.8" x14ac:dyDescent="0.3">
      <c r="B364" s="61"/>
      <c r="E364" s="85"/>
      <c r="AG364" s="85"/>
      <c r="AH364" s="85"/>
      <c r="AI364" s="85"/>
    </row>
    <row r="365" spans="2:35" s="47" customFormat="1" ht="13.8" x14ac:dyDescent="0.3">
      <c r="B365" s="61"/>
      <c r="E365" s="85"/>
      <c r="AG365" s="85"/>
      <c r="AH365" s="85"/>
      <c r="AI365" s="85"/>
    </row>
    <row r="366" spans="2:35" s="47" customFormat="1" ht="13.8" x14ac:dyDescent="0.3">
      <c r="B366" s="61"/>
      <c r="E366" s="85"/>
      <c r="AG366" s="85"/>
      <c r="AH366" s="85"/>
      <c r="AI366" s="85"/>
    </row>
    <row r="367" spans="2:35" s="47" customFormat="1" ht="13.8" x14ac:dyDescent="0.3">
      <c r="B367" s="61"/>
      <c r="E367" s="85"/>
      <c r="AG367" s="85"/>
      <c r="AH367" s="85"/>
      <c r="AI367" s="85"/>
    </row>
    <row r="368" spans="2:35" s="47" customFormat="1" ht="13.8" x14ac:dyDescent="0.3">
      <c r="B368" s="61"/>
      <c r="E368" s="85"/>
      <c r="AG368" s="85"/>
      <c r="AH368" s="85"/>
      <c r="AI368" s="85"/>
    </row>
    <row r="369" spans="2:35" s="47" customFormat="1" ht="13.8" x14ac:dyDescent="0.3">
      <c r="B369" s="61"/>
      <c r="E369" s="85"/>
      <c r="AG369" s="85"/>
      <c r="AH369" s="85"/>
      <c r="AI369" s="85"/>
    </row>
    <row r="370" spans="2:35" s="47" customFormat="1" ht="13.8" x14ac:dyDescent="0.3">
      <c r="B370" s="61"/>
      <c r="E370" s="85"/>
      <c r="AG370" s="85"/>
      <c r="AH370" s="85"/>
      <c r="AI370" s="85"/>
    </row>
    <row r="371" spans="2:35" s="47" customFormat="1" ht="13.8" x14ac:dyDescent="0.3">
      <c r="B371" s="61"/>
      <c r="E371" s="85"/>
      <c r="AG371" s="85"/>
      <c r="AH371" s="85"/>
      <c r="AI371" s="85"/>
    </row>
    <row r="372" spans="2:35" s="47" customFormat="1" ht="13.8" x14ac:dyDescent="0.3">
      <c r="B372" s="61"/>
      <c r="E372" s="85"/>
      <c r="AG372" s="85"/>
      <c r="AH372" s="85"/>
      <c r="AI372" s="85"/>
    </row>
    <row r="373" spans="2:35" s="47" customFormat="1" ht="13.8" x14ac:dyDescent="0.3">
      <c r="B373" s="61"/>
      <c r="E373" s="85"/>
      <c r="AG373" s="85"/>
      <c r="AH373" s="85"/>
      <c r="AI373" s="85"/>
    </row>
    <row r="374" spans="2:35" s="47" customFormat="1" ht="13.8" x14ac:dyDescent="0.3">
      <c r="B374" s="61"/>
      <c r="E374" s="85"/>
      <c r="AG374" s="85"/>
      <c r="AH374" s="85"/>
      <c r="AI374" s="85"/>
    </row>
    <row r="375" spans="2:35" s="47" customFormat="1" ht="13.8" x14ac:dyDescent="0.3">
      <c r="B375" s="61"/>
      <c r="E375" s="85"/>
      <c r="AG375" s="85"/>
      <c r="AH375" s="85"/>
      <c r="AI375" s="85"/>
    </row>
    <row r="376" spans="2:35" s="47" customFormat="1" ht="13.8" x14ac:dyDescent="0.3">
      <c r="B376" s="61"/>
      <c r="E376" s="85"/>
      <c r="AG376" s="85"/>
      <c r="AH376" s="85"/>
      <c r="AI376" s="85"/>
    </row>
  </sheetData>
  <sheetProtection algorithmName="SHA-512" hashValue="wTblYAmhRcsXRK5VL4hXzuhscLIHY+mOnyvTFm9UTbipM5u2lkYcKnywT20rbRu0E8ZBOSgWx2+eceMn5VO4MA==" saltValue="aEX36wTcml63ThARfj+aQA==" spinCount="100000" sheet="1" formatCells="0" formatColumns="0" formatRows="0"/>
  <mergeCells count="18">
    <mergeCell ref="A149:C149"/>
    <mergeCell ref="G196:G197"/>
    <mergeCell ref="F196:F197"/>
    <mergeCell ref="E196:E197"/>
    <mergeCell ref="H194:H196"/>
    <mergeCell ref="A23:C23"/>
    <mergeCell ref="A43:C43"/>
    <mergeCell ref="A46:C46"/>
    <mergeCell ref="A62:C62"/>
    <mergeCell ref="B196:B197"/>
    <mergeCell ref="A189:C189"/>
    <mergeCell ref="A167:C167"/>
    <mergeCell ref="A116:C116"/>
    <mergeCell ref="A123:C123"/>
    <mergeCell ref="A181:C181"/>
    <mergeCell ref="A175:C175"/>
    <mergeCell ref="A80:C80"/>
    <mergeCell ref="A98:C98"/>
  </mergeCells>
  <phoneticPr fontId="9" type="noConversion"/>
  <dataValidations xWindow="959" yWindow="848" count="22">
    <dataValidation type="custom" allowBlank="1" showInputMessage="1" showErrorMessage="1" errorTitle="Error" error="This figure is fixed and therefore cannot be changed" promptTitle="Note" prompt="This value is fixed at 365 days/yr x 24 hrs/day= 8760 hrs per yr" sqref="C6" xr:uid="{4B60249F-4F6B-4E12-A3B6-D568E513F229}">
      <formula1>0</formula1>
    </dataValidation>
    <dataValidation allowBlank="1" showInputMessage="1" showErrorMessage="1" promptTitle="Note" prompt="Capacity Factor is the % representation of the actual production vs. the installed nameplate design capacity annual production of an energy project. " sqref="A7:B7" xr:uid="{9DEB216C-B8B5-41FD-B81B-C2C4127C4AFA}"/>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 xr:uid="{7838B212-1229-4345-9778-9D19B3D1F741}">
      <formula1>"0%,0.25%,0.5%,0.75%,1.0%"</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342D730D-1EBA-41D2-8EF9-ADA955DA9613}">
      <formula1>"kW,MW"</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 xr:uid="{A3BF37FB-1B48-40C1-873C-EDCC8377103E}">
      <formula1>"25,24,23,22,21,20,19,18,17,16,15,14,13,12,11,10,9,8,7,6,5"</formula1>
    </dataValidation>
    <dataValidation type="decimal" errorStyle="information" operator="greaterThanOrEqual" allowBlank="1" showInputMessage="1" showErrorMessage="1" errorTitle="Error" error="Amount received cannot be less than zero" promptTitle="Capital Subsidy" prompt="Enter the subsidy received that is used to reduce capital costs" sqref="C127" xr:uid="{1C734D0E-A94B-4E37-B094-64C0359F8D2C}">
      <formula1>0</formula1>
    </dataValidation>
    <dataValidation allowBlank="1" showInputMessage="1" showErrorMessage="1" promptTitle="Currency" prompt="Please enter your reporting currency" sqref="B24" xr:uid="{90D6824F-6FF1-444A-9FDD-2C4BEC8E4234}"/>
    <dataValidation type="custom" allowBlank="1" showInputMessage="1" showErrorMessage="1" error="Land is not depreciated" prompt="Land is not depreciated" sqref="E64 E100 E25 E82 E48" xr:uid="{3290C2C6-42C2-4D4A-9FE0-D93A5CED4AFB}">
      <formula1>0</formula1>
    </dataValidation>
    <dataValidation type="whole" operator="equal" allowBlank="1" showInputMessage="1" showErrorMessage="1" error="Total must be equal 100%" promptTitle="check" prompt="Total must be equal 100%" sqref="D172 L172 E205:F205" xr:uid="{05D175FC-68A7-47F2-BE44-33379D2DC574}">
      <formula1>1</formula1>
    </dataValidation>
    <dataValidation allowBlank="1" showInputMessage="1" showErrorMessage="1" promptTitle="Note: " prompt="Includes the cost and installation of assets relevant to the generation and supply of electricity" sqref="A21" xr:uid="{D319138A-E635-417A-84F4-EEE3E06C3530}"/>
    <dataValidation type="list" showInputMessage="1" showErrorMessage="1" errorTitle="Error Message" error="Please select and use one of the currencies provided_x000a_KES or USD or Euro or GBP" promptTitle="Select your currency" prompt="Select your currency" sqref="B218" xr:uid="{FD856813-1451-4AC6-8921-226C385B71F2}">
      <formula1>"Local currency, US$, Euro, GBP, CFA"</formula1>
    </dataValidation>
    <dataValidation type="list" showInputMessage="1" showErrorMessage="1" errorTitle="Error Message" error="Please select and use one of the currencies provided_x000a_KES or USD or Euro or GBP" promptTitle="Select your currency" prompt="Select your currency" sqref="B222" xr:uid="{718DE128-DA07-4619-A59E-9906E1DE7703}">
      <formula1>"currency, USD, Euro, GBP, CFA"</formula1>
    </dataValidation>
    <dataValidation type="list" allowBlank="1" showInputMessage="1" showErrorMessage="1" errorTitle="Error" error="Unit of Measurement entered is not allowed. Please choose one from amongst: Kw or MW" promptTitle="Units" prompt="Please select unit of measurements, i.e. kW or MW" sqref="B5" xr:uid="{69462090-7C09-43FB-8862-A45236E70CBC}">
      <formula1>"kWp,MWp"</formula1>
    </dataValidation>
    <dataValidation type="list" allowBlank="1" showInputMessage="1" showErrorMessage="1" sqref="A191" xr:uid="{E34B7DFC-BC2A-4054-93E6-83D8AEA8D350}">
      <formula1>"Construction Period-Solar,Construction Period-Wind,Construction Period-Hydro,Construction Period-Biomass, Construction Period-Hybrid System"</formula1>
    </dataValidation>
    <dataValidation allowBlank="1" showInputMessage="1" showErrorMessage="1" error="The total funding must be equal to the total assets" promptTitle="Check" prompt="The total funding must be equal to the total assets" sqref="C172" xr:uid="{E7561A68-A774-41DC-BE16-4DC710487534}"/>
    <dataValidation type="custom" allowBlank="1" showInputMessage="1" showErrorMessage="1" errorTitle="Note" error="These cells are locked._x000a_No inputs required." promptTitle="Locked cells" prompt="No input required" sqref="F24:AF128 AG126:AG128 AH24:AI128" xr:uid="{49410253-2C75-4227-8C36-6D48A75C89A1}">
      <formula1>0</formula1>
    </dataValidation>
    <dataValidation type="list" allowBlank="1" showInputMessage="1" showErrorMessage="1" sqref="C20" xr:uid="{F0824D70-E1A7-463B-9CB9-84D3CFFA8CE7}">
      <formula1>"currency,DZD,AOA,BWP,BIF,CVE,XAF,XOF,KMF,CDF,GMD,DJF,EGP,ERN,ETB,GHS,GNF,KES,LSL,LRD,LYD,SZL,MGA,MWK,MUR,MAD,MZN,NAD,NGN,MRU,ZWD,RWF,STN,SCR,SLL,SOS,ZAR,SSP,SDG,TZS,TND,UGX,ZMW,US$,Euro,GBP,CFA"</formula1>
    </dataValidation>
    <dataValidation promptTitle="Select your currency" prompt="Select your currency" sqref="B223:B226 B216:B217" xr:uid="{AB9A0BFF-BF99-431D-AE47-5491E0A4C8C7}"/>
    <dataValidation type="custom" allowBlank="1" showInputMessage="1" showErrorMessage="1" errorTitle="capacity check" error="Excess Capacity" promptTitle="Capacity check" prompt="check installed capacity against demand" sqref="D205 C209:G209" xr:uid="{F65DB8BE-DBC7-48FC-8CB0-4B4ADED764A6}">
      <formula1>IF(SUM(C198:C204)&gt;B14,SUM(C198:C204),"Excess Capacity")</formula1>
    </dataValidation>
    <dataValidation type="custom" allowBlank="1" showInputMessage="1" showErrorMessage="1" errorTitle="Error" error="No value cannot be entered in this cell. Please enter % of Equity funding" promptTitle="Note" prompt="This cell is a formulaic calculation. No input is required" sqref="K185:K187" xr:uid="{3C3EA56D-659B-4832-9170-683C8A3F4EB7}">
      <formula1>0</formula1>
    </dataValidation>
    <dataValidation allowBlank="1" showInputMessage="1" showErrorMessage="1" errorTitle="Error" error="No value cannot be entered in this cell. Please enter % of Equity funding" promptTitle="Note" prompt="This cell is a formulaic calculation. No input is required" sqref="H185" xr:uid="{098EA9AD-2DAA-449B-9DC2-1B85050BC76F}"/>
    <dataValidation type="decimal" allowBlank="1" showInputMessage="1" showErrorMessage="1" error="Value should be between 0% - 4% as stated in Section 22(3)(a) of the Mini Grid Regulations 2023." sqref="C11" xr:uid="{E676C98E-B1AB-4CCF-A4E7-3E5FBF6F8C7D}">
      <formula1>0</formula1>
      <formula2>0.04</formula2>
    </dataValidation>
  </dataValidations>
  <pageMargins left="0.7" right="0.7" top="0.75" bottom="0.75" header="0.3" footer="0.3"/>
  <pageSetup paperSize="9" orientation="portrait" r:id="rId1"/>
  <ignoredErrors>
    <ignoredError sqref="C227 E25:E26 E47:E61 E79 E94:E97 B216 C222 B228 H197 F206:G206 D206:E206 H186:J186 G185:K185 G187 G186 K186 C173 E31:E42 I187:K187" unlockedFormula="1"/>
    <ignoredError sqref="F205 D205"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BA42-CA4F-4A13-9104-B2CD6E06435F}">
  <sheetPr>
    <tabColor theme="8" tint="-0.249977111117893"/>
  </sheetPr>
  <dimension ref="A1:FO175"/>
  <sheetViews>
    <sheetView workbookViewId="0">
      <selection activeCell="D146" sqref="D146"/>
    </sheetView>
  </sheetViews>
  <sheetFormatPr defaultColWidth="9.21875" defaultRowHeight="14.4" x14ac:dyDescent="0.3"/>
  <cols>
    <col min="1" max="1" width="38.33203125" style="57" customWidth="1"/>
    <col min="2" max="2" width="11.21875" style="57" customWidth="1"/>
    <col min="3" max="3" width="12.21875" style="57" customWidth="1"/>
    <col min="4" max="4" width="10.77734375" style="57" bestFit="1" customWidth="1"/>
    <col min="5" max="10" width="11.77734375" style="57" customWidth="1"/>
    <col min="11" max="16" width="10.21875" style="57" bestFit="1" customWidth="1"/>
    <col min="17" max="18" width="11" style="57" bestFit="1" customWidth="1"/>
    <col min="19" max="20" width="10.77734375" style="57" bestFit="1" customWidth="1"/>
    <col min="21" max="28" width="11" style="57" bestFit="1" customWidth="1"/>
    <col min="29" max="29" width="10.21875" style="57" bestFit="1" customWidth="1"/>
    <col min="30" max="16384" width="9.21875" style="57"/>
  </cols>
  <sheetData>
    <row r="1" spans="1:132" s="45" customFormat="1" ht="18" x14ac:dyDescent="0.35">
      <c r="A1" s="43" t="s">
        <v>312</v>
      </c>
      <c r="B1" s="44"/>
      <c r="C1" s="44"/>
      <c r="E1" s="46"/>
      <c r="AG1" s="46"/>
      <c r="AH1" s="46"/>
      <c r="AI1" s="46"/>
    </row>
    <row r="2" spans="1:132" x14ac:dyDescent="0.3">
      <c r="B2" s="274"/>
    </row>
    <row r="3" spans="1:132" s="61" customFormat="1" x14ac:dyDescent="0.3">
      <c r="A3" s="57"/>
      <c r="C3" s="155" t="s">
        <v>150</v>
      </c>
      <c r="D3" s="156">
        <v>1</v>
      </c>
      <c r="E3" s="156">
        <f>D3+1</f>
        <v>2</v>
      </c>
      <c r="F3" s="156">
        <f t="shared" ref="F3:AB3" si="0">E3+1</f>
        <v>3</v>
      </c>
      <c r="G3" s="156">
        <f t="shared" si="0"/>
        <v>4</v>
      </c>
      <c r="H3" s="156">
        <f t="shared" si="0"/>
        <v>5</v>
      </c>
      <c r="I3" s="156">
        <f t="shared" si="0"/>
        <v>6</v>
      </c>
      <c r="J3" s="156">
        <f t="shared" si="0"/>
        <v>7</v>
      </c>
      <c r="K3" s="156">
        <f t="shared" si="0"/>
        <v>8</v>
      </c>
      <c r="L3" s="156">
        <f t="shared" si="0"/>
        <v>9</v>
      </c>
      <c r="M3" s="156">
        <f t="shared" si="0"/>
        <v>10</v>
      </c>
      <c r="N3" s="156">
        <f t="shared" si="0"/>
        <v>11</v>
      </c>
      <c r="O3" s="156">
        <f t="shared" si="0"/>
        <v>12</v>
      </c>
      <c r="P3" s="156">
        <f t="shared" si="0"/>
        <v>13</v>
      </c>
      <c r="Q3" s="156">
        <f t="shared" si="0"/>
        <v>14</v>
      </c>
      <c r="R3" s="156">
        <f t="shared" si="0"/>
        <v>15</v>
      </c>
      <c r="S3" s="156">
        <f t="shared" si="0"/>
        <v>16</v>
      </c>
      <c r="T3" s="156">
        <f t="shared" si="0"/>
        <v>17</v>
      </c>
      <c r="U3" s="156">
        <f t="shared" si="0"/>
        <v>18</v>
      </c>
      <c r="V3" s="156">
        <f t="shared" si="0"/>
        <v>19</v>
      </c>
      <c r="W3" s="156">
        <f t="shared" si="0"/>
        <v>20</v>
      </c>
      <c r="X3" s="156">
        <f t="shared" si="0"/>
        <v>21</v>
      </c>
      <c r="Y3" s="156">
        <f t="shared" si="0"/>
        <v>22</v>
      </c>
      <c r="Z3" s="156">
        <f t="shared" si="0"/>
        <v>23</v>
      </c>
      <c r="AA3" s="156">
        <f t="shared" si="0"/>
        <v>24</v>
      </c>
      <c r="AB3" s="156">
        <f t="shared" si="0"/>
        <v>25</v>
      </c>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row>
    <row r="4" spans="1:132" s="157" customFormat="1" x14ac:dyDescent="0.3">
      <c r="A4" s="57"/>
      <c r="B4" s="275"/>
      <c r="C4" s="275"/>
      <c r="D4" s="276"/>
      <c r="E4" s="276"/>
      <c r="F4" s="276"/>
      <c r="G4" s="276"/>
      <c r="H4" s="276"/>
      <c r="I4" s="276"/>
      <c r="J4" s="276"/>
      <c r="K4" s="276"/>
      <c r="L4" s="276"/>
      <c r="M4" s="276"/>
      <c r="N4" s="276"/>
      <c r="O4" s="276"/>
      <c r="P4" s="276"/>
      <c r="Q4" s="276"/>
      <c r="R4" s="276"/>
      <c r="S4" s="276"/>
      <c r="T4" s="276"/>
      <c r="U4" s="276"/>
      <c r="V4" s="276"/>
      <c r="W4" s="276"/>
      <c r="X4" s="276"/>
      <c r="Y4" s="276"/>
      <c r="Z4" s="276"/>
      <c r="AA4" s="276"/>
      <c r="AB4" s="276"/>
    </row>
    <row r="5" spans="1:132" s="61" customFormat="1" ht="13.8" x14ac:dyDescent="0.3">
      <c r="A5" s="277" t="s">
        <v>408</v>
      </c>
      <c r="B5" s="70"/>
      <c r="C5" s="70"/>
      <c r="D5" s="60"/>
      <c r="E5" s="60"/>
      <c r="F5" s="60"/>
      <c r="G5" s="60"/>
      <c r="H5" s="60"/>
      <c r="I5" s="60"/>
      <c r="J5" s="60"/>
      <c r="K5" s="60"/>
      <c r="L5" s="60"/>
      <c r="M5" s="60"/>
      <c r="N5" s="60"/>
      <c r="O5" s="60"/>
      <c r="P5" s="60"/>
      <c r="Q5" s="60"/>
      <c r="R5" s="60"/>
      <c r="S5" s="60"/>
      <c r="T5" s="60"/>
      <c r="U5" s="60"/>
      <c r="V5" s="60"/>
      <c r="W5" s="60"/>
      <c r="X5" s="60"/>
      <c r="Y5" s="60"/>
      <c r="Z5" s="60"/>
      <c r="AA5" s="60"/>
      <c r="AB5" s="60"/>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row>
    <row r="6" spans="1:132" x14ac:dyDescent="0.3">
      <c r="A6" s="175"/>
      <c r="B6" s="278" t="s">
        <v>47</v>
      </c>
      <c r="C6" s="278"/>
      <c r="D6" s="279" t="s">
        <v>122</v>
      </c>
      <c r="AC6" s="157"/>
      <c r="AD6" s="157"/>
      <c r="AE6" s="157"/>
      <c r="AF6" s="157"/>
      <c r="AG6" s="157"/>
      <c r="AH6" s="157"/>
      <c r="AI6" s="157"/>
      <c r="AJ6" s="157"/>
      <c r="AK6" s="157"/>
      <c r="AL6" s="157"/>
    </row>
    <row r="7" spans="1:132" s="61" customFormat="1" ht="13.8" x14ac:dyDescent="0.3">
      <c r="A7" s="280" t="s">
        <v>155</v>
      </c>
      <c r="B7" s="281" t="s">
        <v>86</v>
      </c>
      <c r="C7" s="232"/>
      <c r="D7" s="233">
        <f>Inputs!C14</f>
        <v>0</v>
      </c>
      <c r="E7" s="233"/>
      <c r="F7" s="233"/>
      <c r="G7" s="233"/>
      <c r="H7" s="233"/>
      <c r="I7" s="233"/>
      <c r="J7" s="233"/>
      <c r="K7" s="233"/>
      <c r="L7" s="233"/>
      <c r="M7" s="233"/>
      <c r="N7" s="233"/>
      <c r="O7" s="233"/>
      <c r="P7" s="233"/>
      <c r="Q7" s="233"/>
      <c r="R7" s="233"/>
      <c r="S7" s="233"/>
      <c r="T7" s="233"/>
      <c r="U7" s="233"/>
      <c r="V7" s="233"/>
      <c r="W7" s="233"/>
      <c r="X7" s="233"/>
      <c r="Y7" s="233"/>
      <c r="Z7" s="233"/>
      <c r="AA7" s="233"/>
      <c r="AB7" s="233"/>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row>
    <row r="8" spans="1:132" s="61" customFormat="1" ht="13.8" x14ac:dyDescent="0.3">
      <c r="A8" s="284" t="s">
        <v>151</v>
      </c>
      <c r="B8" s="285" t="s">
        <v>86</v>
      </c>
      <c r="C8" s="11"/>
      <c r="D8" s="11"/>
      <c r="E8" s="11">
        <f>IF(E3&lt;=Inputs!$C$16,-ROUNDUP(D9*Inputs!$C$15,0),0)</f>
        <v>0</v>
      </c>
      <c r="F8" s="11">
        <f>IF(F3&lt;=Inputs!$C$16,-ROUNDUP(E9*Inputs!$C$15,0),0)</f>
        <v>0</v>
      </c>
      <c r="G8" s="11">
        <f>IF(G3&lt;=Inputs!$C$16,-ROUNDUP(F9*Inputs!$C$15,0),0)</f>
        <v>0</v>
      </c>
      <c r="H8" s="11">
        <f>IF(H3&lt;=Inputs!$C$16,-ROUNDUP(G9*Inputs!$C$15,0),0)</f>
        <v>0</v>
      </c>
      <c r="I8" s="11">
        <f>IF(I3&lt;=Inputs!$C$16,-ROUNDUP(H9*Inputs!$C$15,0),0)</f>
        <v>0</v>
      </c>
      <c r="J8" s="11">
        <f>IF(J3&lt;=Inputs!$C$16,-ROUNDUP(I9*Inputs!$C$15,0),0)</f>
        <v>0</v>
      </c>
      <c r="K8" s="11">
        <f>IF(K3&lt;=Inputs!$C$16,-ROUNDUP(J9*Inputs!$C$15,0),0)</f>
        <v>0</v>
      </c>
      <c r="L8" s="11">
        <f>IF(L3&lt;=Inputs!$C$16,-ROUNDUP(K9*Inputs!$C$15,0),0)</f>
        <v>0</v>
      </c>
      <c r="M8" s="11">
        <f>IF(M3&lt;=Inputs!$C$16,-ROUNDUP(L9*Inputs!$C$15,0),0)</f>
        <v>0</v>
      </c>
      <c r="N8" s="11">
        <f>IF(N3&lt;=Inputs!$C$16,-ROUNDUP(M9*Inputs!$C$15,0),0)</f>
        <v>0</v>
      </c>
      <c r="O8" s="11">
        <f>IF(O3&lt;=Inputs!$C$16,-ROUNDUP(N9*Inputs!$C$15,0),0)</f>
        <v>0</v>
      </c>
      <c r="P8" s="11">
        <f>IF(P3&lt;=Inputs!$C$16,-ROUNDUP(O9*Inputs!$C$15,0),0)</f>
        <v>0</v>
      </c>
      <c r="Q8" s="11">
        <f>IF(Q3&lt;=Inputs!$C$16,-ROUNDUP(P9*Inputs!$C$15,0),0)</f>
        <v>0</v>
      </c>
      <c r="R8" s="11">
        <f>IF(R3&lt;=Inputs!$C$16,-ROUNDUP(Q9*Inputs!$C$15,0),0)</f>
        <v>0</v>
      </c>
      <c r="S8" s="11">
        <f>IF(S3&lt;=Inputs!$C$16,-ROUNDUP(R9*Inputs!$C$15,0),0)</f>
        <v>0</v>
      </c>
      <c r="T8" s="11">
        <f>IF(T3&lt;=Inputs!$C$16,-ROUNDUP(S9*Inputs!$C$15,0),0)</f>
        <v>0</v>
      </c>
      <c r="U8" s="11">
        <f>IF(U3&lt;=Inputs!$C$16,-ROUNDUP(T9*Inputs!$C$15,0),0)</f>
        <v>0</v>
      </c>
      <c r="V8" s="11">
        <f>IF(V3&lt;=Inputs!$C$16,-ROUNDUP(U9*Inputs!$C$15,0),0)</f>
        <v>0</v>
      </c>
      <c r="W8" s="11">
        <f>IF(W3&lt;=Inputs!$C$16,-ROUNDUP(V9*Inputs!$C$15,0),0)</f>
        <v>0</v>
      </c>
      <c r="X8" s="11">
        <f>IF(X3&lt;=Inputs!$C$16,-ROUNDUP(W9*Inputs!$C$15,0),0)</f>
        <v>0</v>
      </c>
      <c r="Y8" s="11">
        <f>IF(Y3&lt;=Inputs!$C$16,-ROUNDUP(X9*Inputs!$C$15,0),0)</f>
        <v>0</v>
      </c>
      <c r="Z8" s="11">
        <f>IF(Z3&lt;=Inputs!$C$16,-ROUNDUP(Y9*Inputs!$C$15,0),0)</f>
        <v>0</v>
      </c>
      <c r="AA8" s="11">
        <f>IF(AA3&lt;=Inputs!$C$16,-ROUNDUP(Z9*Inputs!$C$15,0),0)</f>
        <v>0</v>
      </c>
      <c r="AB8" s="11">
        <f>IF(AB3&lt;=Inputs!$C$16,-ROUNDUP(AA9*Inputs!$C$15,0),0)</f>
        <v>0</v>
      </c>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row>
    <row r="9" spans="1:132" s="61" customFormat="1" thickBot="1" x14ac:dyDescent="0.35">
      <c r="A9" s="286" t="s">
        <v>154</v>
      </c>
      <c r="B9" s="287" t="s">
        <v>86</v>
      </c>
      <c r="C9" s="234"/>
      <c r="D9" s="234">
        <f>IF(D3&lt;=Inputs!$C16,SUM(D7:D8),0)</f>
        <v>0</v>
      </c>
      <c r="E9" s="234">
        <f>IF(E3&lt;=Inputs!$C16,(D9+SUM(E7:E8)),0)</f>
        <v>0</v>
      </c>
      <c r="F9" s="234">
        <f>IF(F3&lt;=Inputs!$C16,(E9+SUM(F7:F8)),0)</f>
        <v>0</v>
      </c>
      <c r="G9" s="234">
        <f>IF(G3&lt;=Inputs!$C16,(F9+SUM(G7:G8)),0)</f>
        <v>0</v>
      </c>
      <c r="H9" s="234">
        <f>IF(H3&lt;=Inputs!$C16,(G9+SUM(H7:H8)),0)</f>
        <v>0</v>
      </c>
      <c r="I9" s="234">
        <f>IF(I3&lt;=Inputs!$C16,(H9+SUM(I7:I8)),0)</f>
        <v>0</v>
      </c>
      <c r="J9" s="234">
        <f>IF(J3&lt;=Inputs!$C16,(I9+SUM(J7:J8)),0)</f>
        <v>0</v>
      </c>
      <c r="K9" s="234">
        <f>IF(K3&lt;=Inputs!$C16,(J9+SUM(K7:K8)),0)</f>
        <v>0</v>
      </c>
      <c r="L9" s="234">
        <f>IF(L3&lt;=Inputs!$C16,(K9+SUM(L7:L8)),0)</f>
        <v>0</v>
      </c>
      <c r="M9" s="234">
        <f>IF(M3&lt;=Inputs!$C16,(L9+SUM(M7:M8)),0)</f>
        <v>0</v>
      </c>
      <c r="N9" s="234">
        <f>IF(N3&lt;=Inputs!$C16,(M9+SUM(N7:N8)),0)</f>
        <v>0</v>
      </c>
      <c r="O9" s="234">
        <f>IF(O3&lt;=Inputs!$C16,(N9+SUM(O7:O8)),0)</f>
        <v>0</v>
      </c>
      <c r="P9" s="234">
        <f>IF(P3&lt;=Inputs!$C16,(O9+SUM(P7:P8)),0)</f>
        <v>0</v>
      </c>
      <c r="Q9" s="234">
        <f>IF(Q3&lt;=Inputs!$C16,(P9+SUM(Q7:Q8)),0)</f>
        <v>0</v>
      </c>
      <c r="R9" s="234">
        <f>IF(R3&lt;=Inputs!$C16,(Q9+SUM(R7:R8)),0)</f>
        <v>0</v>
      </c>
      <c r="S9" s="234">
        <f>IF(S3&lt;=Inputs!$C16,(R9+SUM(S7:S8)),0)</f>
        <v>0</v>
      </c>
      <c r="T9" s="234">
        <f>IF(T3&lt;=Inputs!$C16,(S9+SUM(T7:T8)),0)</f>
        <v>0</v>
      </c>
      <c r="U9" s="234">
        <f>IF(U3&lt;=Inputs!$C16,(T9+SUM(U7:U8)),0)</f>
        <v>0</v>
      </c>
      <c r="V9" s="234">
        <f>IF(V3&lt;=Inputs!$C16,(U9+SUM(V7:V8)),0)</f>
        <v>0</v>
      </c>
      <c r="W9" s="234">
        <f>IF(W3&lt;=Inputs!$C16,(V9+SUM(W7:W8)),0)</f>
        <v>0</v>
      </c>
      <c r="X9" s="234">
        <f>IF(X3&lt;=Inputs!$C16,(W9+SUM(X7:X8)),0)</f>
        <v>0</v>
      </c>
      <c r="Y9" s="234">
        <f>IF(Y3&lt;=Inputs!$C16,(X9+SUM(Y7:Y8)),0)</f>
        <v>0</v>
      </c>
      <c r="Z9" s="234">
        <f>IF(Z3&lt;=Inputs!$C16,(Y9+SUM(Z7:Z8)),0)</f>
        <v>0</v>
      </c>
      <c r="AA9" s="234">
        <f>IF(AA3&lt;=Inputs!$C16,(Z9+SUM(AA7:AA8)),0)</f>
        <v>0</v>
      </c>
      <c r="AB9" s="234">
        <f>IF(AB3&lt;=Inputs!$C16,(AA9+SUM(AB7:AB8)),0)</f>
        <v>0</v>
      </c>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row>
    <row r="10" spans="1:132" s="61" customFormat="1" thickTop="1" x14ac:dyDescent="0.3">
      <c r="A10" s="288" t="s">
        <v>156</v>
      </c>
      <c r="B10" s="285" t="s">
        <v>86</v>
      </c>
      <c r="C10" s="235"/>
      <c r="D10" s="236">
        <f>D9</f>
        <v>0</v>
      </c>
      <c r="E10" s="236">
        <f>D10+E9</f>
        <v>0</v>
      </c>
      <c r="F10" s="236">
        <f>E10+F9</f>
        <v>0</v>
      </c>
      <c r="G10" s="236">
        <f t="shared" ref="G10:AB10" si="1">F10+G9</f>
        <v>0</v>
      </c>
      <c r="H10" s="236">
        <f t="shared" si="1"/>
        <v>0</v>
      </c>
      <c r="I10" s="236">
        <f t="shared" si="1"/>
        <v>0</v>
      </c>
      <c r="J10" s="236">
        <f t="shared" si="1"/>
        <v>0</v>
      </c>
      <c r="K10" s="236">
        <f t="shared" si="1"/>
        <v>0</v>
      </c>
      <c r="L10" s="236">
        <f t="shared" si="1"/>
        <v>0</v>
      </c>
      <c r="M10" s="236">
        <f t="shared" si="1"/>
        <v>0</v>
      </c>
      <c r="N10" s="236">
        <f t="shared" si="1"/>
        <v>0</v>
      </c>
      <c r="O10" s="236">
        <f t="shared" si="1"/>
        <v>0</v>
      </c>
      <c r="P10" s="236">
        <f t="shared" si="1"/>
        <v>0</v>
      </c>
      <c r="Q10" s="236">
        <f t="shared" si="1"/>
        <v>0</v>
      </c>
      <c r="R10" s="236">
        <f t="shared" si="1"/>
        <v>0</v>
      </c>
      <c r="S10" s="236">
        <f t="shared" si="1"/>
        <v>0</v>
      </c>
      <c r="T10" s="236">
        <f t="shared" si="1"/>
        <v>0</v>
      </c>
      <c r="U10" s="236">
        <f t="shared" si="1"/>
        <v>0</v>
      </c>
      <c r="V10" s="236">
        <f t="shared" si="1"/>
        <v>0</v>
      </c>
      <c r="W10" s="236">
        <f t="shared" si="1"/>
        <v>0</v>
      </c>
      <c r="X10" s="236">
        <f t="shared" si="1"/>
        <v>0</v>
      </c>
      <c r="Y10" s="236">
        <f t="shared" si="1"/>
        <v>0</v>
      </c>
      <c r="Z10" s="236">
        <f t="shared" si="1"/>
        <v>0</v>
      </c>
      <c r="AA10" s="236">
        <f t="shared" si="1"/>
        <v>0</v>
      </c>
      <c r="AB10" s="236">
        <f t="shared" si="1"/>
        <v>0</v>
      </c>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row>
    <row r="11" spans="1:132" s="61" customFormat="1" ht="13.8" x14ac:dyDescent="0.3">
      <c r="A11" s="59" t="s">
        <v>237</v>
      </c>
      <c r="B11" s="60" t="s">
        <v>86</v>
      </c>
      <c r="C11" s="12"/>
      <c r="D11" s="11">
        <f>IF(D3&lt;=Inputs!$C16,Inputs!C151,"")</f>
        <v>0</v>
      </c>
      <c r="E11" s="11">
        <f>IF(E3&lt;=Inputs!$C16,Inputs!D151,"")</f>
        <v>0</v>
      </c>
      <c r="F11" s="11">
        <f>IF(F3&lt;=Inputs!$C16,Inputs!E151,"")</f>
        <v>0</v>
      </c>
      <c r="G11" s="11">
        <f>IF(G3&lt;=Inputs!$C16,Inputs!F151,"")</f>
        <v>0</v>
      </c>
      <c r="H11" s="11">
        <f>IF(H3&lt;=Inputs!$C16,Inputs!G151,"")</f>
        <v>0</v>
      </c>
      <c r="I11" s="11">
        <f>IF(I3&lt;=Inputs!$C16,H11,"")</f>
        <v>0</v>
      </c>
      <c r="J11" s="11">
        <f>IF(J3&lt;=Inputs!$C16,I11,"")</f>
        <v>0</v>
      </c>
      <c r="K11" s="11">
        <f>IF(K3&lt;=Inputs!$C16,J11,"")</f>
        <v>0</v>
      </c>
      <c r="L11" s="11">
        <f>IF(L3&lt;=Inputs!$C16,K11,"")</f>
        <v>0</v>
      </c>
      <c r="M11" s="11">
        <f>IF(M3&lt;=Inputs!$C16,L11,"")</f>
        <v>0</v>
      </c>
      <c r="N11" s="11">
        <f>IF(N3&lt;=Inputs!$C16,M11,"")</f>
        <v>0</v>
      </c>
      <c r="O11" s="11">
        <f>IF(O3&lt;=Inputs!$C16,N11,"")</f>
        <v>0</v>
      </c>
      <c r="P11" s="11">
        <f>IF(P3&lt;=Inputs!$C16,O11,"")</f>
        <v>0</v>
      </c>
      <c r="Q11" s="11">
        <f>IF(Q3&lt;=Inputs!$C16,P11,"")</f>
        <v>0</v>
      </c>
      <c r="R11" s="11">
        <f>IF(R3&lt;=Inputs!$C16,Q11,"")</f>
        <v>0</v>
      </c>
      <c r="S11" s="11">
        <f>IF(S3&lt;=Inputs!$C16,R11,"")</f>
        <v>0</v>
      </c>
      <c r="T11" s="11">
        <f>IF(T3&lt;=Inputs!$C16,S11,"")</f>
        <v>0</v>
      </c>
      <c r="U11" s="11">
        <f>IF(U3&lt;=Inputs!$C16,T11,"")</f>
        <v>0</v>
      </c>
      <c r="V11" s="11">
        <f>IF(V3&lt;=Inputs!$C16,U11,"")</f>
        <v>0</v>
      </c>
      <c r="W11" s="11">
        <f>IF(W3&lt;=Inputs!$C16,V11,"")</f>
        <v>0</v>
      </c>
      <c r="X11" s="11">
        <f>IF(X3&lt;=Inputs!$C16,W11,"")</f>
        <v>0</v>
      </c>
      <c r="Y11" s="11">
        <f>IF(Y3&lt;=Inputs!$C16,X11,"")</f>
        <v>0</v>
      </c>
      <c r="Z11" s="11">
        <f>IF(Z3&lt;=Inputs!$C16,Y11,"")</f>
        <v>0</v>
      </c>
      <c r="AA11" s="11">
        <f>IF(AA3&lt;=Inputs!$C16,Z11,"")</f>
        <v>0</v>
      </c>
      <c r="AB11" s="11">
        <f>IF(AB3&lt;=Inputs!$C16,AA11,"")</f>
        <v>0</v>
      </c>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row>
    <row r="12" spans="1:132" s="61" customFormat="1" thickBot="1" x14ac:dyDescent="0.35">
      <c r="A12" s="291" t="s">
        <v>407</v>
      </c>
      <c r="B12" s="292" t="s">
        <v>86</v>
      </c>
      <c r="C12" s="237"/>
      <c r="D12" s="237">
        <f>IF(D3&lt;=Inputs!$C16,D9+D11," ")</f>
        <v>0</v>
      </c>
      <c r="E12" s="237">
        <f>IF(E3&lt;=Inputs!$C16,E9+E11," ")</f>
        <v>0</v>
      </c>
      <c r="F12" s="237">
        <f>IF(F3&lt;=Inputs!$C16,F9+F11," ")</f>
        <v>0</v>
      </c>
      <c r="G12" s="237">
        <f>IF(G3&lt;=Inputs!$C16,G9+G11," ")</f>
        <v>0</v>
      </c>
      <c r="H12" s="237">
        <f>IF(H3&lt;=Inputs!$C16,H9+H11," ")</f>
        <v>0</v>
      </c>
      <c r="I12" s="237">
        <f>IF(I3&lt;=Inputs!$C16,I9+I11," ")</f>
        <v>0</v>
      </c>
      <c r="J12" s="237">
        <f>IF(J3&lt;=Inputs!$C16,J9+J11," ")</f>
        <v>0</v>
      </c>
      <c r="K12" s="237">
        <f>IF(K3&lt;=Inputs!$C16,K9+K11," ")</f>
        <v>0</v>
      </c>
      <c r="L12" s="237">
        <f>IF(L3&lt;=Inputs!$C16,L9+L11," ")</f>
        <v>0</v>
      </c>
      <c r="M12" s="237">
        <f>IF(M3&lt;=Inputs!$C16,M9+M11," ")</f>
        <v>0</v>
      </c>
      <c r="N12" s="237">
        <f>IF(N3&lt;=Inputs!$C16,N9+N11," ")</f>
        <v>0</v>
      </c>
      <c r="O12" s="237">
        <f>IF(O3&lt;=Inputs!$C16,O9+O11," ")</f>
        <v>0</v>
      </c>
      <c r="P12" s="237">
        <f>IF(P3&lt;=Inputs!$C16,P9+P11," ")</f>
        <v>0</v>
      </c>
      <c r="Q12" s="237">
        <f>IF(Q3&lt;=Inputs!$C16,Q9+Q11," ")</f>
        <v>0</v>
      </c>
      <c r="R12" s="237">
        <f>IF(R3&lt;=Inputs!$C16,R9+R11," ")</f>
        <v>0</v>
      </c>
      <c r="S12" s="237">
        <f>IF(S3&lt;=Inputs!$C16,S9+S11," ")</f>
        <v>0</v>
      </c>
      <c r="T12" s="237">
        <f>IF(T3&lt;=Inputs!$C16,T9+T11," ")</f>
        <v>0</v>
      </c>
      <c r="U12" s="237">
        <f>IF(U3&lt;=Inputs!$C16,U9+U11," ")</f>
        <v>0</v>
      </c>
      <c r="V12" s="237">
        <f>IF(V3&lt;=Inputs!$C16,V9+V11," ")</f>
        <v>0</v>
      </c>
      <c r="W12" s="237">
        <f>IF(W3&lt;=Inputs!$C16,W9+W11," ")</f>
        <v>0</v>
      </c>
      <c r="X12" s="237">
        <f>IF(X3&lt;=Inputs!$C16,X9+X11," ")</f>
        <v>0</v>
      </c>
      <c r="Y12" s="237">
        <f>IF(Y3&lt;=Inputs!$C16,Y9+Y11," ")</f>
        <v>0</v>
      </c>
      <c r="Z12" s="237">
        <f>IF(Z3&lt;=Inputs!$C16,Z9+Z11," ")</f>
        <v>0</v>
      </c>
      <c r="AA12" s="237">
        <f>IF(AA3&lt;=Inputs!$C16,AA9+AA11," ")</f>
        <v>0</v>
      </c>
      <c r="AB12" s="237">
        <f>IF(AB3&lt;=Inputs!$C16,AB9+AB11," ")</f>
        <v>0</v>
      </c>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row>
    <row r="13" spans="1:132" ht="15" thickTop="1" x14ac:dyDescent="0.3">
      <c r="A13" s="61"/>
      <c r="B13" s="89"/>
      <c r="C13" s="89"/>
      <c r="D13" s="89"/>
      <c r="AC13" s="157"/>
      <c r="AD13" s="157"/>
      <c r="AE13" s="157"/>
      <c r="AF13" s="157"/>
      <c r="AG13" s="157"/>
      <c r="AH13" s="157"/>
      <c r="AI13" s="157"/>
      <c r="AJ13" s="157"/>
      <c r="AK13" s="157"/>
      <c r="AL13" s="157"/>
    </row>
    <row r="14" spans="1:132" x14ac:dyDescent="0.3">
      <c r="A14" s="293" t="s">
        <v>353</v>
      </c>
      <c r="B14" s="89"/>
      <c r="C14" s="89"/>
      <c r="D14" s="89"/>
      <c r="AC14" s="157"/>
      <c r="AD14" s="157"/>
      <c r="AE14" s="157"/>
      <c r="AF14" s="157"/>
      <c r="AG14" s="157"/>
      <c r="AH14" s="157"/>
      <c r="AI14" s="157"/>
      <c r="AJ14" s="157"/>
      <c r="AK14" s="157"/>
      <c r="AL14" s="157"/>
    </row>
    <row r="15" spans="1:132" x14ac:dyDescent="0.3">
      <c r="A15" s="175"/>
      <c r="B15" s="278" t="s">
        <v>47</v>
      </c>
      <c r="C15" s="279" t="s">
        <v>122</v>
      </c>
      <c r="AC15" s="157"/>
      <c r="AD15" s="157"/>
      <c r="AE15" s="157"/>
      <c r="AF15" s="157"/>
      <c r="AG15" s="157"/>
      <c r="AH15" s="157"/>
      <c r="AI15" s="157"/>
      <c r="AJ15" s="157"/>
      <c r="AK15" s="157"/>
      <c r="AL15" s="157"/>
    </row>
    <row r="16" spans="1:132" ht="15" thickBot="1" x14ac:dyDescent="0.35">
      <c r="A16" s="294" t="s">
        <v>165</v>
      </c>
      <c r="B16" s="295" t="s">
        <v>123</v>
      </c>
      <c r="C16" s="139" t="s">
        <v>185</v>
      </c>
      <c r="D16" s="1">
        <f>IF(D3&lt;=Inputs!$C$16,IF($C16="Yes",Inputs!$AH$128,""),"")</f>
        <v>0</v>
      </c>
      <c r="E16" s="1">
        <f>IF(E3&lt;=Inputs!$C$16,IF($C16="Yes",Inputs!$AH$128,""),"")</f>
        <v>0</v>
      </c>
      <c r="F16" s="1">
        <f>IF(F3&lt;=Inputs!$C$16,IF($C16="Yes",Inputs!$AH$128,""),"")</f>
        <v>0</v>
      </c>
      <c r="G16" s="1">
        <f>IF(G3&lt;=Inputs!$C$16,IF($C16="Yes",Inputs!$AH$128,""),"")</f>
        <v>0</v>
      </c>
      <c r="H16" s="1">
        <f>IF(H3&lt;=Inputs!$C$16,IF($C16="Yes",Inputs!$AH$128,""),"")</f>
        <v>0</v>
      </c>
      <c r="I16" s="1">
        <f>IF(I3&lt;=Inputs!$C$16,IF($C16="Yes",Inputs!$AH$128,""),"")</f>
        <v>0</v>
      </c>
      <c r="J16" s="1">
        <f>IF(J3&lt;=Inputs!$C$16,IF($C16="Yes",Inputs!$AH$128,""),"")</f>
        <v>0</v>
      </c>
      <c r="K16" s="1">
        <f>IF(K3&lt;=Inputs!$C$16,IF($C16="Yes",Inputs!$AH$128,""),"")</f>
        <v>0</v>
      </c>
      <c r="L16" s="1">
        <f>IF(L3&lt;=Inputs!$C$16,IF($C16="Yes",Inputs!$AH$128,""),"")</f>
        <v>0</v>
      </c>
      <c r="M16" s="1">
        <f>IF(M3&lt;=Inputs!$C$16,IF($C16="Yes",Inputs!$AH$128,""),"")</f>
        <v>0</v>
      </c>
      <c r="N16" s="1">
        <f>IF(N3&lt;=Inputs!$C$16,IF($C16="Yes",Inputs!$AH$128,""),"")</f>
        <v>0</v>
      </c>
      <c r="O16" s="1">
        <f>IF(O3&lt;=Inputs!$C$16,IF($C16="Yes",Inputs!$AH$128,""),"")</f>
        <v>0</v>
      </c>
      <c r="P16" s="1">
        <f>IF(P3&lt;=Inputs!$C$16,IF($C16="Yes",Inputs!$AH$128,""),"")</f>
        <v>0</v>
      </c>
      <c r="Q16" s="1">
        <f>IF(Q3&lt;=Inputs!$C$16,IF($C16="Yes",Inputs!$AH$128,""),"")</f>
        <v>0</v>
      </c>
      <c r="R16" s="1">
        <f>IF(R3&lt;=Inputs!$C$16,IF($C16="Yes",Inputs!$AH$128,""),"")</f>
        <v>0</v>
      </c>
      <c r="S16" s="1">
        <f>IF(S3&lt;=Inputs!$C$16,IF($C16="Yes",Inputs!$AH$128,""),"")</f>
        <v>0</v>
      </c>
      <c r="T16" s="1">
        <f>IF(T3&lt;=Inputs!$C$16,IF($C16="Yes",Inputs!$AH$128,""),"")</f>
        <v>0</v>
      </c>
      <c r="U16" s="1">
        <f>IF(U3&lt;=Inputs!$C$16,IF($C16="Yes",Inputs!$AH$128,""),"")</f>
        <v>0</v>
      </c>
      <c r="V16" s="1">
        <f>IF(V3&lt;=Inputs!$C$16,IF($C16="Yes",Inputs!$AH$128,""),"")</f>
        <v>0</v>
      </c>
      <c r="W16" s="1">
        <f>IF(W3&lt;=Inputs!$C$16,IF($C16="Yes",Inputs!$AH$128,""),"")</f>
        <v>0</v>
      </c>
      <c r="X16" s="1">
        <f>IF(X3&lt;=Inputs!$C$16,IF($C16="Yes",Inputs!$AH$128,""),"")</f>
        <v>0</v>
      </c>
      <c r="Y16" s="1">
        <f>IF(Y3&lt;=Inputs!$C$16,IF($C16="Yes",Inputs!$AH$128,""),"")</f>
        <v>0</v>
      </c>
      <c r="Z16" s="1">
        <f>IF(Z3&lt;=Inputs!$C$16,IF($C16="Yes",Inputs!$AH$128,""),"")</f>
        <v>0</v>
      </c>
      <c r="AA16" s="1">
        <f>IF(AA3&lt;=Inputs!$C$16,IF($C16="Yes",Inputs!$AH$128,""),"")</f>
        <v>0</v>
      </c>
      <c r="AB16" s="1">
        <f>IF(AB3&lt;=Inputs!$C$16,IF($C16="Yes",Inputs!$AH$128,""),"")</f>
        <v>0</v>
      </c>
      <c r="AC16" s="296">
        <f>SUM(D16:AB16)</f>
        <v>0</v>
      </c>
      <c r="AD16" s="157"/>
      <c r="AE16" s="157"/>
      <c r="AF16" s="157"/>
      <c r="AG16" s="157"/>
      <c r="AH16" s="157"/>
      <c r="AI16" s="157"/>
      <c r="AJ16" s="157"/>
      <c r="AK16" s="157"/>
      <c r="AL16" s="157"/>
    </row>
    <row r="17" spans="1:132" ht="15.6" hidden="1" thickTop="1" thickBot="1" x14ac:dyDescent="0.35">
      <c r="A17" s="297" t="s">
        <v>181</v>
      </c>
      <c r="B17" s="295" t="s">
        <v>123</v>
      </c>
      <c r="C17" s="239" t="str">
        <f>IF(C16="Yes","No",IF(C18="Yes","No","Yes"))</f>
        <v>No</v>
      </c>
      <c r="D17" s="1" t="str">
        <f>IF(D3&lt;=Inputs!$C$16,IF($C17="Yes",Inputs!$AI$128*Calculations!D9,""),"")</f>
        <v/>
      </c>
      <c r="E17" s="1" t="str">
        <f>IF(E3&lt;=Inputs!$C$16,IF($C17="Yes",Inputs!$AI$128*Calculations!E9,""),"")</f>
        <v/>
      </c>
      <c r="F17" s="1" t="str">
        <f>IF(F3&lt;=Inputs!$C$16,IF($C17="Yes",Inputs!$AI$128*Calculations!F9,""),"")</f>
        <v/>
      </c>
      <c r="G17" s="1" t="str">
        <f>IF(G3&lt;=Inputs!$C$16,IF($C17="Yes",Inputs!$AI$128*Calculations!G9,""),"")</f>
        <v/>
      </c>
      <c r="H17" s="1" t="str">
        <f>IF(H3&lt;=Inputs!$C$16,IF($C17="Yes",Inputs!$AI$128*Calculations!H9,""),"")</f>
        <v/>
      </c>
      <c r="I17" s="1" t="str">
        <f>IF(I3&lt;=Inputs!$C$16,IF($C17="Yes",Inputs!$AI$128*Calculations!I9,""),"")</f>
        <v/>
      </c>
      <c r="J17" s="1" t="str">
        <f>IF(J3&lt;=Inputs!$C$16,IF($C17="Yes",Inputs!$AI$128*Calculations!J9,""),"")</f>
        <v/>
      </c>
      <c r="K17" s="1" t="str">
        <f>IF(K3&lt;=Inputs!$C$16,IF($C17="Yes",Inputs!$AI$128*Calculations!K9,""),"")</f>
        <v/>
      </c>
      <c r="L17" s="1" t="str">
        <f>IF(L3&lt;=Inputs!$C$16,IF($C17="Yes",Inputs!$AI$128*Calculations!L9,""),"")</f>
        <v/>
      </c>
      <c r="M17" s="1" t="str">
        <f>IF(M3&lt;=Inputs!$C$16,IF($C17="Yes",Inputs!$AI$128*Calculations!M9,""),"")</f>
        <v/>
      </c>
      <c r="N17" s="1" t="str">
        <f>IF(N3&lt;=Inputs!$C$16,IF($C17="Yes",Inputs!$AI$128*Calculations!N9,""),"")</f>
        <v/>
      </c>
      <c r="O17" s="1" t="str">
        <f>IF(O3&lt;=Inputs!$C$16,IF($C17="Yes",Inputs!$AI$128*Calculations!O9,""),"")</f>
        <v/>
      </c>
      <c r="P17" s="1" t="str">
        <f>IF(P3&lt;=Inputs!$C$16,IF($C17="Yes",Inputs!$AI$128*Calculations!P9,""),"")</f>
        <v/>
      </c>
      <c r="Q17" s="1" t="str">
        <f>IF(Q3&lt;=Inputs!$C$16,IF($C17="Yes",Inputs!$AI$128*Calculations!Q9,""),"")</f>
        <v/>
      </c>
      <c r="R17" s="1" t="str">
        <f>IF(R3&lt;=Inputs!$C$16,IF($C17="Yes",Inputs!$AI$128*Calculations!R9,""),"")</f>
        <v/>
      </c>
      <c r="S17" s="1" t="str">
        <f>IF(S3&lt;=Inputs!$C$16,IF($C17="Yes",Inputs!$AI$128*Calculations!S9,""),"")</f>
        <v/>
      </c>
      <c r="T17" s="1" t="str">
        <f>IF(T3&lt;=Inputs!$C$16,IF($C17="Yes",Inputs!$AI$128*Calculations!T9,""),"")</f>
        <v/>
      </c>
      <c r="U17" s="1" t="str">
        <f>IF(U3&lt;=Inputs!$C$16,IF($C17="Yes",Inputs!$AI$128*Calculations!U9,""),"")</f>
        <v/>
      </c>
      <c r="V17" s="1" t="str">
        <f>IF(V3&lt;=Inputs!$C$16,IF($C17="Yes",Inputs!$AI$128*Calculations!V9,""),"")</f>
        <v/>
      </c>
      <c r="W17" s="1" t="str">
        <f>IF(W3&lt;=Inputs!$C$16,IF($C17="Yes",Inputs!$AI$128*Calculations!W9,""),"")</f>
        <v/>
      </c>
      <c r="X17" s="1" t="str">
        <f>IF(X3&lt;=Inputs!$C$16,IF($C17="Yes",Inputs!$AI$128*Calculations!X9,""),"")</f>
        <v/>
      </c>
      <c r="Y17" s="1" t="str">
        <f>IF(Y3&lt;=Inputs!$C$16,IF($C17="Yes",Inputs!$AI$128*Calculations!Y9,""),"")</f>
        <v/>
      </c>
      <c r="Z17" s="1" t="str">
        <f>IF(Z3&lt;=Inputs!$C$16,IF($C17="Yes",Inputs!$AI$128*Calculations!Z9,""),"")</f>
        <v/>
      </c>
      <c r="AA17" s="1" t="str">
        <f>IF(AA3&lt;=Inputs!$C$16,IF($C17="Yes",Inputs!$AI$128*Calculations!AA9,""),"")</f>
        <v/>
      </c>
      <c r="AB17" s="1" t="str">
        <f>IF(AB3&lt;=Inputs!$C$16,IF($C17="Yes",Inputs!$AI$128*Calculations!AB9,""),"")</f>
        <v/>
      </c>
      <c r="AC17" s="296">
        <f t="shared" ref="AC17" si="2">SUM(D17:AB17)</f>
        <v>0</v>
      </c>
      <c r="AD17" s="157"/>
      <c r="AE17" s="157"/>
      <c r="AF17" s="157"/>
      <c r="AG17" s="157"/>
      <c r="AH17" s="157"/>
      <c r="AI17" s="157"/>
      <c r="AJ17" s="157"/>
      <c r="AK17" s="157"/>
      <c r="AL17" s="157"/>
    </row>
    <row r="18" spans="1:132" ht="15.6" hidden="1" thickTop="1" thickBot="1" x14ac:dyDescent="0.35">
      <c r="A18" s="298" t="s">
        <v>182</v>
      </c>
      <c r="B18" s="299" t="s">
        <v>123</v>
      </c>
      <c r="C18" s="8" t="s">
        <v>247</v>
      </c>
      <c r="D18" s="1" t="str">
        <f>IF(D3&lt;=Inputs!$C$16,IF($C18="Yes",((D27*Inputs!$C$179*(1+Inputs!$C$179)^Inputs!$C$16))/((1+Inputs!$C$179)^Inputs!$C$16-1),""),"")</f>
        <v/>
      </c>
      <c r="E18" s="1" t="str">
        <f>IF(E3&lt;=Inputs!$C$16,IF($C18="Yes",((E27*Inputs!$C$179*(1+Inputs!$C$179)^Inputs!$C$16))/((1+Inputs!$C$179)^Inputs!$C$16-1),""),"")</f>
        <v/>
      </c>
      <c r="F18" s="1" t="str">
        <f>IF(F3&lt;=Inputs!$C$16,IF($C18="Yes",((F27*Inputs!$C$179*(1+Inputs!$C$179)^Inputs!$C$16))/((1+Inputs!$C$179)^Inputs!$C$16-1),""),"")</f>
        <v/>
      </c>
      <c r="G18" s="1" t="str">
        <f>IF(G3&lt;=Inputs!$C$16,IF($C18="Yes",((G27*Inputs!$C$179*(1+Inputs!$C$179)^Inputs!$C$16))/((1+Inputs!$C$179)^Inputs!$C$16-1),""),"")</f>
        <v/>
      </c>
      <c r="H18" s="1" t="str">
        <f>IF(H3&lt;=Inputs!$C$16,IF($C18="Yes",((H27*Inputs!$C$179*(1+Inputs!$C$179)^Inputs!$C$16))/((1+Inputs!$C$179)^Inputs!$C$16-1),""),"")</f>
        <v/>
      </c>
      <c r="I18" s="1" t="str">
        <f>IF(I3&lt;=Inputs!$C$16,IF($C18="Yes",((I27*Inputs!$C$179*(1+Inputs!$C$179)^Inputs!$C$16))/((1+Inputs!$C$179)^Inputs!$C$16-1),""),"")</f>
        <v/>
      </c>
      <c r="J18" s="1" t="str">
        <f>IF(J3&lt;=Inputs!$C$16,IF($C18="Yes",((J27*Inputs!$C$179*(1+Inputs!$C$179)^Inputs!$C$16))/((1+Inputs!$C$179)^Inputs!$C$16-1),""),"")</f>
        <v/>
      </c>
      <c r="K18" s="1" t="str">
        <f>IF(K3&lt;=Inputs!$C$16,IF($C18="Yes",((K27*Inputs!$C$179*(1+Inputs!$C$179)^Inputs!$C$16))/((1+Inputs!$C$179)^Inputs!$C$16-1),""),"")</f>
        <v/>
      </c>
      <c r="L18" s="1" t="str">
        <f>IF(L3&lt;=Inputs!$C$16,IF($C18="Yes",((L27*Inputs!$C$179*(1+Inputs!$C$179)^Inputs!$C$16))/((1+Inputs!$C$179)^Inputs!$C$16-1),""),"")</f>
        <v/>
      </c>
      <c r="M18" s="1" t="str">
        <f>IF(M3&lt;=Inputs!$C$16,IF($C18="Yes",((M27*Inputs!$C$179*(1+Inputs!$C$179)^Inputs!$C$16))/((1+Inputs!$C$179)^Inputs!$C$16-1),""),"")</f>
        <v/>
      </c>
      <c r="N18" s="1" t="str">
        <f>IF(N3&lt;=Inputs!$C$16,IF($C18="Yes",((N27*Inputs!$C$179*(1+Inputs!$C$179)^Inputs!$C$16))/((1+Inputs!$C$179)^Inputs!$C$16-1),""),"")</f>
        <v/>
      </c>
      <c r="O18" s="1" t="str">
        <f>IF(O3&lt;=Inputs!$C$16,IF($C18="Yes",((O27*Inputs!$C$179*(1+Inputs!$C$179)^Inputs!$C$16))/((1+Inputs!$C$179)^Inputs!$C$16-1),""),"")</f>
        <v/>
      </c>
      <c r="P18" s="1" t="str">
        <f>IF(P3&lt;=Inputs!$C$16,IF($C18="Yes",((P27*Inputs!$C$179*(1+Inputs!$C$179)^Inputs!$C$16))/((1+Inputs!$C$179)^Inputs!$C$16-1),""),"")</f>
        <v/>
      </c>
      <c r="Q18" s="1" t="str">
        <f>IF(Q3&lt;=Inputs!$C$16,IF($C18="Yes",((Q27*Inputs!$C$179*(1+Inputs!$C$179)^Inputs!$C$16))/((1+Inputs!$C$179)^Inputs!$C$16-1),""),"")</f>
        <v/>
      </c>
      <c r="R18" s="1" t="str">
        <f>IF(R3&lt;=Inputs!$C$16,IF($C18="Yes",((R27*Inputs!$C$179*(1+Inputs!$C$179)^Inputs!$C$16))/((1+Inputs!$C$179)^Inputs!$C$16-1),""),"")</f>
        <v/>
      </c>
      <c r="S18" s="1" t="str">
        <f>IF(S3&lt;=Inputs!$C$16,IF($C18="Yes",((S27*Inputs!$C$179*(1+Inputs!$C$179)^Inputs!$C$16))/((1+Inputs!$C$179)^Inputs!$C$16-1),""),"")</f>
        <v/>
      </c>
      <c r="T18" s="1" t="str">
        <f>IF(T3&lt;=Inputs!$C$16,IF($C18="Yes",((T27*Inputs!$C$179*(1+Inputs!$C$179)^Inputs!$C$16))/((1+Inputs!$C$179)^Inputs!$C$16-1),""),"")</f>
        <v/>
      </c>
      <c r="U18" s="1" t="str">
        <f>IF(U3&lt;=Inputs!$C$16,IF($C18="Yes",((U27*Inputs!$C$179*(1+Inputs!$C$179)^Inputs!$C$16))/((1+Inputs!$C$179)^Inputs!$C$16-1),""),"")</f>
        <v/>
      </c>
      <c r="V18" s="1" t="str">
        <f>IF(V3&lt;=Inputs!$C$16,IF($C18="Yes",((V27*Inputs!$C$179*(1+Inputs!$C$179)^Inputs!$C$16))/((1+Inputs!$C$179)^Inputs!$C$16-1),""),"")</f>
        <v/>
      </c>
      <c r="W18" s="1" t="str">
        <f>IF(W3&lt;=Inputs!$C$16,IF($C18="Yes",((W27*Inputs!$C$179*(1+Inputs!$C$179)^Inputs!$C$16))/((1+Inputs!$C$179)^Inputs!$C$16-1),""),"")</f>
        <v/>
      </c>
      <c r="X18" s="1" t="str">
        <f>IF(X3&lt;=Inputs!$C$16,IF($C18="Yes",((X27*Inputs!$C$179*(1+Inputs!$C$179)^Inputs!$C$16))/((1+Inputs!$C$179)^Inputs!$C$16-1),""),"")</f>
        <v/>
      </c>
      <c r="Y18" s="1" t="str">
        <f>IF(Y3&lt;=Inputs!$C$16,IF($C18="Yes",((Y27*Inputs!$C$179*(1+Inputs!$C$179)^Inputs!$C$16))/((1+Inputs!$C$179)^Inputs!$C$16-1),""),"")</f>
        <v/>
      </c>
      <c r="Z18" s="1" t="str">
        <f>IF(Z3&lt;=Inputs!$C$16,IF($C18="Yes",((Z27*Inputs!$C$179*(1+Inputs!$C$179)^Inputs!$C$16))/((1+Inputs!$C$179)^Inputs!$C$16-1),""),"")</f>
        <v/>
      </c>
      <c r="AA18" s="1" t="str">
        <f>IF(AA3&lt;=Inputs!$C$16,IF($C18="Yes",((AA27*Inputs!$C$179*(1+Inputs!$C$179)^Inputs!$C$16))/((1+Inputs!$C$179)^Inputs!$C$16-1),""),"")</f>
        <v/>
      </c>
      <c r="AB18" s="1" t="str">
        <f>IF(AB3&lt;=Inputs!$C$16,IF($C18="Yes",((AB27*Inputs!$C$179*(1+Inputs!$C$179)^Inputs!$C$16))/((1+Inputs!$C$179)^Inputs!$C$16-1),""),"")</f>
        <v/>
      </c>
      <c r="AC18" s="296">
        <f>IF(C18="Yes",SUM(D18:AB18)-(Inputs!AG128-Inputs!AH128*Inputs!C16),0)</f>
        <v>0</v>
      </c>
      <c r="AD18" s="157"/>
      <c r="AE18" s="157"/>
      <c r="AF18" s="157"/>
      <c r="AG18" s="157"/>
      <c r="AH18" s="157"/>
      <c r="AI18" s="157"/>
      <c r="AJ18" s="157"/>
      <c r="AK18" s="157"/>
      <c r="AL18" s="157"/>
    </row>
    <row r="19" spans="1:132" s="61" customFormat="1" thickBot="1" x14ac:dyDescent="0.35">
      <c r="A19" s="300" t="s">
        <v>180</v>
      </c>
      <c r="B19" s="301"/>
      <c r="C19" s="240"/>
      <c r="D19" s="241">
        <f>SUM(D16:D18)</f>
        <v>0</v>
      </c>
      <c r="E19" s="241">
        <f t="shared" ref="E19:AB19" si="3">SUM(E16:E18)</f>
        <v>0</v>
      </c>
      <c r="F19" s="241">
        <f t="shared" si="3"/>
        <v>0</v>
      </c>
      <c r="G19" s="241">
        <f t="shared" si="3"/>
        <v>0</v>
      </c>
      <c r="H19" s="241">
        <f t="shared" si="3"/>
        <v>0</v>
      </c>
      <c r="I19" s="241">
        <f t="shared" si="3"/>
        <v>0</v>
      </c>
      <c r="J19" s="241">
        <f t="shared" si="3"/>
        <v>0</v>
      </c>
      <c r="K19" s="241">
        <f t="shared" si="3"/>
        <v>0</v>
      </c>
      <c r="L19" s="241">
        <f t="shared" si="3"/>
        <v>0</v>
      </c>
      <c r="M19" s="241">
        <f t="shared" si="3"/>
        <v>0</v>
      </c>
      <c r="N19" s="241">
        <f t="shared" si="3"/>
        <v>0</v>
      </c>
      <c r="O19" s="241">
        <f t="shared" si="3"/>
        <v>0</v>
      </c>
      <c r="P19" s="241">
        <f t="shared" si="3"/>
        <v>0</v>
      </c>
      <c r="Q19" s="241">
        <f t="shared" si="3"/>
        <v>0</v>
      </c>
      <c r="R19" s="241">
        <f t="shared" si="3"/>
        <v>0</v>
      </c>
      <c r="S19" s="241">
        <f t="shared" si="3"/>
        <v>0</v>
      </c>
      <c r="T19" s="241">
        <f t="shared" si="3"/>
        <v>0</v>
      </c>
      <c r="U19" s="241">
        <f t="shared" si="3"/>
        <v>0</v>
      </c>
      <c r="V19" s="241">
        <f t="shared" si="3"/>
        <v>0</v>
      </c>
      <c r="W19" s="241">
        <f t="shared" si="3"/>
        <v>0</v>
      </c>
      <c r="X19" s="241">
        <f t="shared" si="3"/>
        <v>0</v>
      </c>
      <c r="Y19" s="241">
        <f t="shared" si="3"/>
        <v>0</v>
      </c>
      <c r="Z19" s="241">
        <f t="shared" si="3"/>
        <v>0</v>
      </c>
      <c r="AA19" s="241">
        <f t="shared" si="3"/>
        <v>0</v>
      </c>
      <c r="AB19" s="241">
        <f t="shared" si="3"/>
        <v>0</v>
      </c>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row>
    <row r="20" spans="1:132" x14ac:dyDescent="0.3">
      <c r="A20" s="6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157"/>
      <c r="AD20" s="157"/>
      <c r="AE20" s="157"/>
      <c r="AF20" s="157"/>
      <c r="AG20" s="157"/>
      <c r="AH20" s="157"/>
      <c r="AI20" s="157"/>
      <c r="AJ20" s="157"/>
      <c r="AK20" s="157"/>
      <c r="AL20" s="157"/>
    </row>
    <row r="21" spans="1:132" x14ac:dyDescent="0.3">
      <c r="A21" s="293" t="s">
        <v>354</v>
      </c>
      <c r="B21" s="293"/>
      <c r="C21" s="293"/>
      <c r="D21" s="293"/>
      <c r="E21" s="293"/>
      <c r="AC21" s="157"/>
      <c r="AD21" s="157"/>
      <c r="AE21" s="157"/>
      <c r="AF21" s="157"/>
      <c r="AG21" s="157"/>
      <c r="AH21" s="157"/>
      <c r="AI21" s="157"/>
      <c r="AJ21" s="157"/>
      <c r="AK21" s="157"/>
      <c r="AL21" s="157"/>
    </row>
    <row r="22" spans="1:132" s="61" customFormat="1" ht="13.8" x14ac:dyDescent="0.3">
      <c r="A22" s="302" t="s">
        <v>166</v>
      </c>
      <c r="B22" s="281"/>
      <c r="C22" s="232"/>
      <c r="D22" s="233">
        <f>IF(D3&lt;=Inputs!$C$16,Inputs!$C$145,"")</f>
        <v>0</v>
      </c>
      <c r="E22" s="233">
        <f>IF(E3&lt;=Inputs!$C$16,D22+(D22*Inputs!$C$147*Inputs!$C$214),"")</f>
        <v>0</v>
      </c>
      <c r="F22" s="233">
        <f>IF(F3&lt;=Inputs!$C$16,E22+(E22*Inputs!$C$147*Inputs!$C$214),"")</f>
        <v>0</v>
      </c>
      <c r="G22" s="233">
        <f>IF(G3&lt;=Inputs!$C$16,F22+(F22*Inputs!$C$147*Inputs!$C$214),"")</f>
        <v>0</v>
      </c>
      <c r="H22" s="233">
        <f>IF(H3&lt;=Inputs!$C$16,G22+(G22*Inputs!$C$147*Inputs!$C$214),"")</f>
        <v>0</v>
      </c>
      <c r="I22" s="233">
        <f>IF(I3&lt;=Inputs!$C$16,H22+(H22*Inputs!$C$147*Inputs!$C$214),"")</f>
        <v>0</v>
      </c>
      <c r="J22" s="233">
        <f>IF(J3&lt;=Inputs!$C$16,I22+(I22*Inputs!$C$147*Inputs!$C$214),"")</f>
        <v>0</v>
      </c>
      <c r="K22" s="233">
        <f>IF(K3&lt;=Inputs!$C$16,J22+(J22*Inputs!$C$147*Inputs!$C$214),"")</f>
        <v>0</v>
      </c>
      <c r="L22" s="233">
        <f>IF(L3&lt;=Inputs!$C$16,K22+(K22*Inputs!$C$147*Inputs!$C$214),"")</f>
        <v>0</v>
      </c>
      <c r="M22" s="233">
        <f>IF(M3&lt;=Inputs!$C$16,L22+(L22*Inputs!$C$147*Inputs!$C$214),"")</f>
        <v>0</v>
      </c>
      <c r="N22" s="233">
        <f>IF(N3&lt;=Inputs!$C$16,M22+(M22*Inputs!$C$147*Inputs!$C$214),"")</f>
        <v>0</v>
      </c>
      <c r="O22" s="233">
        <f>IF(O3&lt;=Inputs!$C$16,N22+(N22*Inputs!$C$147*Inputs!$C$214),"")</f>
        <v>0</v>
      </c>
      <c r="P22" s="233">
        <f>IF(P3&lt;=Inputs!$C$16,O22+(O22*Inputs!$C$147*Inputs!$C$214),"")</f>
        <v>0</v>
      </c>
      <c r="Q22" s="233">
        <f>IF(Q3&lt;=Inputs!$C$16,P22+(P22*Inputs!$C$147*Inputs!$C$214),"")</f>
        <v>0</v>
      </c>
      <c r="R22" s="233">
        <f>IF(R3&lt;=Inputs!$C$16,Q22+(Q22*Inputs!$C$147*Inputs!$C$214),"")</f>
        <v>0</v>
      </c>
      <c r="S22" s="233">
        <f>IF(S3&lt;=Inputs!$C$16,R22+(R22*Inputs!$C$147*Inputs!$C$214),"")</f>
        <v>0</v>
      </c>
      <c r="T22" s="233">
        <f>IF(T3&lt;=Inputs!$C$16,S22+(S22*Inputs!$C$147*Inputs!$C$214),"")</f>
        <v>0</v>
      </c>
      <c r="U22" s="233">
        <f>IF(U3&lt;=Inputs!$C$16,T22+(T22*Inputs!$C$147*Inputs!$C$214),"")</f>
        <v>0</v>
      </c>
      <c r="V22" s="233">
        <f>IF(V3&lt;=Inputs!$C$16,U22+(U22*Inputs!$C$147*Inputs!$C$214),"")</f>
        <v>0</v>
      </c>
      <c r="W22" s="233">
        <f>IF(W3&lt;=Inputs!$C$16,V22+(V22*Inputs!$C$147*Inputs!$C$214),"")</f>
        <v>0</v>
      </c>
      <c r="X22" s="233">
        <f>IF(X3&lt;=Inputs!$C$16,W22+(W22*Inputs!$C$147*Inputs!$C$214),"")</f>
        <v>0</v>
      </c>
      <c r="Y22" s="233">
        <f>IF(Y3&lt;=Inputs!$C$16,X22+(X22*Inputs!$C$147*Inputs!$C$214),"")</f>
        <v>0</v>
      </c>
      <c r="Z22" s="233">
        <f>IF(Z3&lt;=Inputs!$C$16,Y22+(Y22*Inputs!$C$147*Inputs!$C$214),"")</f>
        <v>0</v>
      </c>
      <c r="AA22" s="233">
        <f>IF(AA3&lt;=Inputs!$C$16,Z22+(Z22*Inputs!$C$147*Inputs!$C$214),"")</f>
        <v>0</v>
      </c>
      <c r="AB22" s="233">
        <f>IF(AB3&lt;=Inputs!$C$16,AA22+(AA22*Inputs!$C$147*Inputs!$C$214),"")</f>
        <v>0</v>
      </c>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row>
    <row r="23" spans="1:132" s="61" customFormat="1" ht="13.8" x14ac:dyDescent="0.3">
      <c r="A23" s="303" t="s">
        <v>157</v>
      </c>
      <c r="B23" s="285"/>
      <c r="C23" s="235"/>
      <c r="D23" s="236">
        <f>-Inputs!C158</f>
        <v>0</v>
      </c>
      <c r="E23" s="236">
        <f>-Inputs!D158</f>
        <v>0</v>
      </c>
      <c r="F23" s="236">
        <f>-Inputs!E158</f>
        <v>0</v>
      </c>
      <c r="G23" s="236">
        <f>-Inputs!F158</f>
        <v>0</v>
      </c>
      <c r="H23" s="236">
        <f>-Inputs!G158</f>
        <v>0</v>
      </c>
      <c r="I23" s="236"/>
      <c r="J23" s="236"/>
      <c r="K23" s="236"/>
      <c r="L23" s="236"/>
      <c r="M23" s="236"/>
      <c r="N23" s="236"/>
      <c r="O23" s="236"/>
      <c r="P23" s="236"/>
      <c r="Q23" s="236"/>
      <c r="R23" s="236"/>
      <c r="S23" s="236"/>
      <c r="T23" s="236"/>
      <c r="U23" s="236"/>
      <c r="V23" s="236"/>
      <c r="W23" s="236"/>
      <c r="X23" s="236"/>
      <c r="Y23" s="236"/>
      <c r="Z23" s="236"/>
      <c r="AA23" s="236"/>
      <c r="AB23" s="236"/>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row>
    <row r="24" spans="1:132" s="61" customFormat="1" ht="13.8" x14ac:dyDescent="0.3">
      <c r="A24" s="294" t="s">
        <v>167</v>
      </c>
      <c r="B24" s="304"/>
      <c r="C24" s="12"/>
      <c r="D24" s="11">
        <f>Inputs!C126</f>
        <v>0</v>
      </c>
      <c r="E24" s="11"/>
      <c r="F24" s="11"/>
      <c r="G24" s="11"/>
      <c r="H24" s="11">
        <f>IF(H3&lt;=Inputs!$C$16,Inputs!L126," ")</f>
        <v>0</v>
      </c>
      <c r="I24" s="11">
        <f>IF(I3&lt;=Inputs!$C$16,Inputs!M126," ")</f>
        <v>0</v>
      </c>
      <c r="J24" s="11">
        <f>IF(J3&lt;=Inputs!$C$16,Inputs!N126," ")</f>
        <v>0</v>
      </c>
      <c r="K24" s="11">
        <f>IF(K3&lt;=Inputs!$C$16,Inputs!O126," ")</f>
        <v>0</v>
      </c>
      <c r="L24" s="11">
        <f>IF(L3&lt;=Inputs!$C$16,Inputs!P126," ")</f>
        <v>0</v>
      </c>
      <c r="M24" s="11">
        <f>IF(M3&lt;=Inputs!$C$16,Inputs!Q126," ")</f>
        <v>0</v>
      </c>
      <c r="N24" s="11">
        <f>IF(N3&lt;=Inputs!$C$16,Inputs!R126," ")</f>
        <v>0</v>
      </c>
      <c r="O24" s="11">
        <f>IF(O3&lt;=Inputs!$C$16,Inputs!S126," ")</f>
        <v>0</v>
      </c>
      <c r="P24" s="11">
        <f>IF(P3&lt;=Inputs!$C$16,Inputs!T126," ")</f>
        <v>0</v>
      </c>
      <c r="Q24" s="11">
        <f>IF(Q3&lt;=Inputs!$C$16,Inputs!U126," ")</f>
        <v>0</v>
      </c>
      <c r="R24" s="11">
        <f>IF(R3&lt;=Inputs!$C$16,Inputs!V126," ")</f>
        <v>0</v>
      </c>
      <c r="S24" s="11">
        <f>IF(S3&lt;=Inputs!$C$16,Inputs!W126," ")</f>
        <v>0</v>
      </c>
      <c r="T24" s="11">
        <f>IF(T3&lt;=Inputs!$C$16,Inputs!X126," ")</f>
        <v>0</v>
      </c>
      <c r="U24" s="11">
        <f>IF(U3&lt;=Inputs!$C$16,Inputs!Y126," ")</f>
        <v>0</v>
      </c>
      <c r="V24" s="11">
        <f>IF(V3&lt;=Inputs!$C$16,Inputs!Z126," ")</f>
        <v>0</v>
      </c>
      <c r="W24" s="11">
        <f>IF(W3&lt;=Inputs!$C$16,Inputs!AA126," ")</f>
        <v>0</v>
      </c>
      <c r="X24" s="11">
        <f>IF(X3&lt;=Inputs!$C$16,Inputs!AB126," ")</f>
        <v>0</v>
      </c>
      <c r="Y24" s="11">
        <f>IF(Y3&lt;=Inputs!$C$16,Inputs!AC126," ")</f>
        <v>0</v>
      </c>
      <c r="Z24" s="11">
        <f>IF(Z3&lt;=Inputs!$C$16,Inputs!AD126," ")</f>
        <v>0</v>
      </c>
      <c r="AA24" s="11">
        <f>IF(AA3&lt;=Inputs!$C$16,Inputs!AE126," ")</f>
        <v>0</v>
      </c>
      <c r="AB24" s="11">
        <f>IF(AB3&lt;=Inputs!$C$16,Inputs!AF126," ")</f>
        <v>0</v>
      </c>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row>
    <row r="25" spans="1:132" s="61" customFormat="1" ht="13.8" x14ac:dyDescent="0.3">
      <c r="A25" s="305" t="s">
        <v>158</v>
      </c>
      <c r="B25" s="304"/>
      <c r="C25" s="12"/>
      <c r="D25" s="11">
        <f>-Inputs!C156</f>
        <v>0</v>
      </c>
      <c r="E25" s="11">
        <f>-Inputs!D156</f>
        <v>0</v>
      </c>
      <c r="F25" s="11">
        <f>-Inputs!E156</f>
        <v>0</v>
      </c>
      <c r="G25" s="11">
        <f>-Inputs!F156</f>
        <v>0</v>
      </c>
      <c r="H25" s="11">
        <f>-Inputs!G156</f>
        <v>0</v>
      </c>
      <c r="I25" s="11"/>
      <c r="J25" s="11"/>
      <c r="K25" s="11"/>
      <c r="L25" s="11"/>
      <c r="M25" s="11"/>
      <c r="N25" s="11"/>
      <c r="O25" s="11"/>
      <c r="P25" s="11"/>
      <c r="Q25" s="11"/>
      <c r="R25" s="11"/>
      <c r="S25" s="11"/>
      <c r="T25" s="11"/>
      <c r="U25" s="11"/>
      <c r="V25" s="11"/>
      <c r="W25" s="11"/>
      <c r="X25" s="11"/>
      <c r="Y25" s="11"/>
      <c r="Z25" s="11"/>
      <c r="AA25" s="11"/>
      <c r="AB25" s="11"/>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row>
    <row r="26" spans="1:132" s="61" customFormat="1" ht="13.8" x14ac:dyDescent="0.3">
      <c r="A26" s="305" t="s">
        <v>159</v>
      </c>
      <c r="B26" s="304"/>
      <c r="C26" s="12"/>
      <c r="D26" s="11">
        <f>-Inputs!C157</f>
        <v>0</v>
      </c>
      <c r="E26" s="11">
        <f>-Inputs!D157</f>
        <v>0</v>
      </c>
      <c r="F26" s="11">
        <f>-Inputs!E157</f>
        <v>0</v>
      </c>
      <c r="G26" s="11">
        <f>-Inputs!F157</f>
        <v>0</v>
      </c>
      <c r="H26" s="11">
        <f>-Inputs!G157</f>
        <v>0</v>
      </c>
      <c r="I26" s="11"/>
      <c r="J26" s="11"/>
      <c r="K26" s="11"/>
      <c r="L26" s="11"/>
      <c r="M26" s="11"/>
      <c r="N26" s="11"/>
      <c r="O26" s="11"/>
      <c r="P26" s="11"/>
      <c r="Q26" s="11"/>
      <c r="R26" s="11"/>
      <c r="S26" s="11"/>
      <c r="T26" s="11"/>
      <c r="U26" s="11"/>
      <c r="V26" s="11"/>
      <c r="W26" s="11"/>
      <c r="X26" s="11"/>
      <c r="Y26" s="11"/>
      <c r="Z26" s="11"/>
      <c r="AA26" s="11"/>
      <c r="AB26" s="11"/>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row>
    <row r="27" spans="1:132" s="61" customFormat="1" ht="13.8" x14ac:dyDescent="0.3">
      <c r="A27" s="294" t="s">
        <v>467</v>
      </c>
      <c r="B27" s="304" t="s">
        <v>21</v>
      </c>
      <c r="C27" s="12"/>
      <c r="D27" s="11">
        <f>D24+D25+D26</f>
        <v>0</v>
      </c>
      <c r="E27" s="11">
        <f>IF(E3&lt;=Inputs!$C$16,D27+E24+E25+E26,"")</f>
        <v>0</v>
      </c>
      <c r="F27" s="11">
        <f>IF(F3&lt;=Inputs!$C$16,E27+F24+F25+F26,"")</f>
        <v>0</v>
      </c>
      <c r="G27" s="11">
        <f>IF(G3&lt;=Inputs!$C$16,F27+G24+G25+G26,"")</f>
        <v>0</v>
      </c>
      <c r="H27" s="11">
        <f>IF(H3&lt;=Inputs!$C$16,G27+H24+H25+H26,"")</f>
        <v>0</v>
      </c>
      <c r="I27" s="11">
        <f>IF(I3&lt;=Inputs!$C$16,H27+I24+I25+I26,"")</f>
        <v>0</v>
      </c>
      <c r="J27" s="11">
        <f>IF(J3&lt;=Inputs!$C$16,I27+J24+J25+J26,"")</f>
        <v>0</v>
      </c>
      <c r="K27" s="11">
        <f>IF(K3&lt;=Inputs!$C$16,J27+K24+K25+K26,"")</f>
        <v>0</v>
      </c>
      <c r="L27" s="11">
        <f>IF(L3&lt;=Inputs!$C$16,K27+L24+L25+L26,"")</f>
        <v>0</v>
      </c>
      <c r="M27" s="11">
        <f>IF(M3&lt;=Inputs!$C$16,L27+M24+M25+M26,"")</f>
        <v>0</v>
      </c>
      <c r="N27" s="11">
        <f>IF(N3&lt;=Inputs!$C$16,M27+N24+N25+N26,"")</f>
        <v>0</v>
      </c>
      <c r="O27" s="11">
        <f>IF(O3&lt;=Inputs!$C$16,N27+O24+O25+O26,"")</f>
        <v>0</v>
      </c>
      <c r="P27" s="11">
        <f>IF(P3&lt;=Inputs!$C$16,O27+P24+P25+P26,"")</f>
        <v>0</v>
      </c>
      <c r="Q27" s="11">
        <f>IF(Q3&lt;=Inputs!$C$16,P27+Q24+Q25+Q26,"")</f>
        <v>0</v>
      </c>
      <c r="R27" s="11">
        <f>IF(R3&lt;=Inputs!$C$16,Q27+R24+R25+R26,"")</f>
        <v>0</v>
      </c>
      <c r="S27" s="11">
        <f>IF(S3&lt;=Inputs!$C$16,R27+S24+S25+S26,"")</f>
        <v>0</v>
      </c>
      <c r="T27" s="11">
        <f>IF(T3&lt;=Inputs!$C$16,S27+T24+T25+T26,"")</f>
        <v>0</v>
      </c>
      <c r="U27" s="11">
        <f>IF(U3&lt;=Inputs!$C$16,T27+U24+U25+U26,"")</f>
        <v>0</v>
      </c>
      <c r="V27" s="11">
        <f>IF(V3&lt;=Inputs!$C$16,U27+V24+V25+V26,"")</f>
        <v>0</v>
      </c>
      <c r="W27" s="11">
        <f>IF(W3&lt;=Inputs!$C$16,V27+W24+W25+W26,"")</f>
        <v>0</v>
      </c>
      <c r="X27" s="11">
        <f>IF(X3&lt;=Inputs!$C$16,W27+X24+X25+X26,"")</f>
        <v>0</v>
      </c>
      <c r="Y27" s="11">
        <f>IF(Y3&lt;=Inputs!$C$16,X27+Y24+Y25+Y26,"")</f>
        <v>0</v>
      </c>
      <c r="Z27" s="11">
        <f>IF(Z3&lt;=Inputs!$C$16,Y27+Z24+Z25+Z26,"")</f>
        <v>0</v>
      </c>
      <c r="AA27" s="11">
        <f>IF(AA3&lt;=Inputs!$C$16,Z27+AA24+AA25+AA26,"")</f>
        <v>0</v>
      </c>
      <c r="AB27" s="11">
        <f>IF(AB3&lt;=Inputs!$C$16,AA27+AB24+AB25+AB26,"")</f>
        <v>0</v>
      </c>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row>
    <row r="28" spans="1:132" x14ac:dyDescent="0.3">
      <c r="A28" s="294" t="s">
        <v>124</v>
      </c>
      <c r="B28" s="304"/>
      <c r="C28" s="12"/>
      <c r="D28" s="1">
        <f t="shared" ref="D28:AB28" si="4">-D19</f>
        <v>0</v>
      </c>
      <c r="E28" s="1">
        <f t="shared" si="4"/>
        <v>0</v>
      </c>
      <c r="F28" s="1">
        <f t="shared" si="4"/>
        <v>0</v>
      </c>
      <c r="G28" s="1">
        <f t="shared" si="4"/>
        <v>0</v>
      </c>
      <c r="H28" s="1">
        <f t="shared" si="4"/>
        <v>0</v>
      </c>
      <c r="I28" s="1">
        <f t="shared" si="4"/>
        <v>0</v>
      </c>
      <c r="J28" s="1">
        <f t="shared" si="4"/>
        <v>0</v>
      </c>
      <c r="K28" s="1">
        <f t="shared" si="4"/>
        <v>0</v>
      </c>
      <c r="L28" s="1">
        <f t="shared" si="4"/>
        <v>0</v>
      </c>
      <c r="M28" s="1">
        <f t="shared" si="4"/>
        <v>0</v>
      </c>
      <c r="N28" s="1">
        <f t="shared" si="4"/>
        <v>0</v>
      </c>
      <c r="O28" s="1">
        <f t="shared" si="4"/>
        <v>0</v>
      </c>
      <c r="P28" s="1">
        <f t="shared" si="4"/>
        <v>0</v>
      </c>
      <c r="Q28" s="1">
        <f t="shared" si="4"/>
        <v>0</v>
      </c>
      <c r="R28" s="1">
        <f t="shared" si="4"/>
        <v>0</v>
      </c>
      <c r="S28" s="1">
        <f t="shared" si="4"/>
        <v>0</v>
      </c>
      <c r="T28" s="1">
        <f t="shared" si="4"/>
        <v>0</v>
      </c>
      <c r="U28" s="1">
        <f t="shared" si="4"/>
        <v>0</v>
      </c>
      <c r="V28" s="1">
        <f t="shared" si="4"/>
        <v>0</v>
      </c>
      <c r="W28" s="1">
        <f t="shared" si="4"/>
        <v>0</v>
      </c>
      <c r="X28" s="1">
        <f t="shared" si="4"/>
        <v>0</v>
      </c>
      <c r="Y28" s="1">
        <f t="shared" si="4"/>
        <v>0</v>
      </c>
      <c r="Z28" s="1">
        <f t="shared" si="4"/>
        <v>0</v>
      </c>
      <c r="AA28" s="1">
        <f t="shared" si="4"/>
        <v>0</v>
      </c>
      <c r="AB28" s="1">
        <f t="shared" si="4"/>
        <v>0</v>
      </c>
      <c r="AC28" s="157"/>
      <c r="AD28" s="157"/>
      <c r="AE28" s="157"/>
      <c r="AF28" s="157"/>
      <c r="AG28" s="157"/>
      <c r="AH28" s="157"/>
      <c r="AI28" s="157"/>
      <c r="AJ28" s="157"/>
      <c r="AK28" s="157"/>
      <c r="AL28" s="157"/>
    </row>
    <row r="29" spans="1:132" s="61" customFormat="1" ht="13.8" x14ac:dyDescent="0.3">
      <c r="A29" s="305" t="s">
        <v>160</v>
      </c>
      <c r="B29" s="304"/>
      <c r="C29" s="12"/>
      <c r="D29" s="11">
        <f>D28</f>
        <v>0</v>
      </c>
      <c r="E29" s="11">
        <f>IF(E3&lt;=Inputs!$C$16,D29+E28,"")</f>
        <v>0</v>
      </c>
      <c r="F29" s="11">
        <f>IF(F3&lt;=Inputs!$C$16,E29+F28,"")</f>
        <v>0</v>
      </c>
      <c r="G29" s="11">
        <f>IF(G3&lt;=Inputs!$C$16,F29+G28,"")</f>
        <v>0</v>
      </c>
      <c r="H29" s="11">
        <f>IF(H3&lt;=Inputs!$C$16,G29+H28,"")</f>
        <v>0</v>
      </c>
      <c r="I29" s="11">
        <f>IF(I3&lt;=Inputs!$C$16,H29+I28,"")</f>
        <v>0</v>
      </c>
      <c r="J29" s="11">
        <f>IF(J3&lt;=Inputs!$C$16,I29+J28,"")</f>
        <v>0</v>
      </c>
      <c r="K29" s="11">
        <f>IF(K3&lt;=Inputs!$C$16,J29+K28,"")</f>
        <v>0</v>
      </c>
      <c r="L29" s="11">
        <f>IF(L3&lt;=Inputs!$C$16,K29+L28,"")</f>
        <v>0</v>
      </c>
      <c r="M29" s="11">
        <f>IF(M3&lt;=Inputs!$C$16,L29+M28,"")</f>
        <v>0</v>
      </c>
      <c r="N29" s="11">
        <f>IF(N3&lt;=Inputs!$C$16,M29+N28,"")</f>
        <v>0</v>
      </c>
      <c r="O29" s="11">
        <f>IF(O3&lt;=Inputs!$C$16,N29+O28,"")</f>
        <v>0</v>
      </c>
      <c r="P29" s="11">
        <f>IF(P3&lt;=Inputs!$C$16,O29+P28,"")</f>
        <v>0</v>
      </c>
      <c r="Q29" s="11">
        <f>IF(Q3&lt;=Inputs!$C$16,P29+Q28,"")</f>
        <v>0</v>
      </c>
      <c r="R29" s="11">
        <f>IF(R3&lt;=Inputs!$C$16,Q29+R28,"")</f>
        <v>0</v>
      </c>
      <c r="S29" s="11">
        <f>IF(S3&lt;=Inputs!$C$16,R29+S28,"")</f>
        <v>0</v>
      </c>
      <c r="T29" s="11">
        <f>IF(T3&lt;=Inputs!$C$16,S29+T28,"")</f>
        <v>0</v>
      </c>
      <c r="U29" s="11">
        <f>IF(U3&lt;=Inputs!$C$16,T29+U28,"")</f>
        <v>0</v>
      </c>
      <c r="V29" s="11">
        <f>IF(V3&lt;=Inputs!$C$16,U29+V28,"")</f>
        <v>0</v>
      </c>
      <c r="W29" s="11">
        <f>IF(W3&lt;=Inputs!$C$16,V29+W28,"")</f>
        <v>0</v>
      </c>
      <c r="X29" s="11">
        <f>IF(X3&lt;=Inputs!$C$16,W29+X28,"")</f>
        <v>0</v>
      </c>
      <c r="Y29" s="11">
        <f>IF(Y3&lt;=Inputs!$C$16,X29+Y28,"")</f>
        <v>0</v>
      </c>
      <c r="Z29" s="11">
        <f>IF(Z3&lt;=Inputs!$C$16,Y29+Z28,"")</f>
        <v>0</v>
      </c>
      <c r="AA29" s="11">
        <f>IF(AA3&lt;=Inputs!$C$16,Z29+AA28,"")</f>
        <v>0</v>
      </c>
      <c r="AB29" s="11">
        <f>IF(AB3&lt;=Inputs!$C$16,AA29+AB28,"")</f>
        <v>0</v>
      </c>
      <c r="AC29" s="157">
        <f>AB27+AB29</f>
        <v>0</v>
      </c>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row>
    <row r="30" spans="1:132" s="309" customFormat="1" ht="13.8" x14ac:dyDescent="0.3">
      <c r="A30" s="306" t="s">
        <v>168</v>
      </c>
      <c r="B30" s="307"/>
      <c r="C30" s="242"/>
      <c r="D30" s="243">
        <f>IF(D3&lt;=Inputs!$C$16,Inputs!$C$133*SUM(D22:D23)/365,"")</f>
        <v>0</v>
      </c>
      <c r="E30" s="243">
        <f>IF(E3&lt;=Inputs!$C$16,Inputs!$C$133*SUM(E22:E23)/365,"")</f>
        <v>0</v>
      </c>
      <c r="F30" s="243">
        <f>IF(F3&lt;=Inputs!$C$16,Inputs!$C$133*SUM(F22:F23)/365,"")</f>
        <v>0</v>
      </c>
      <c r="G30" s="243">
        <f>IF(G3&lt;=Inputs!$C$16,Inputs!$C$133*SUM(G22:G23)/365,"")</f>
        <v>0</v>
      </c>
      <c r="H30" s="243">
        <f>IF(H3&lt;=Inputs!$C$16,Inputs!$C$133*SUM(H22:H23)/365,"")</f>
        <v>0</v>
      </c>
      <c r="I30" s="243">
        <f>IF(I3&lt;=Inputs!$C$16,Inputs!$C$133*SUM(I22:I23)/365,"")</f>
        <v>0</v>
      </c>
      <c r="J30" s="243">
        <f>IF(J3&lt;=Inputs!$C$16,Inputs!$C$133*SUM(J22:J23)/365,"")</f>
        <v>0</v>
      </c>
      <c r="K30" s="243">
        <f>IF(K3&lt;=Inputs!$C$16,Inputs!$C$133*SUM(K22:K23)/365,"")</f>
        <v>0</v>
      </c>
      <c r="L30" s="243">
        <f>IF(L3&lt;=Inputs!$C$16,Inputs!$C$133*SUM(L22:L23)/365,"")</f>
        <v>0</v>
      </c>
      <c r="M30" s="243">
        <f>IF(M3&lt;=Inputs!$C$16,Inputs!$C$133*SUM(M22:M23)/365,"")</f>
        <v>0</v>
      </c>
      <c r="N30" s="243">
        <f>IF(N3&lt;=Inputs!$C$16,Inputs!$C$133*SUM(N22:N23)/365,"")</f>
        <v>0</v>
      </c>
      <c r="O30" s="243">
        <f>IF(O3&lt;=Inputs!$C$16,Inputs!$C$133*SUM(O22:O23)/365,"")</f>
        <v>0</v>
      </c>
      <c r="P30" s="243">
        <f>IF(P3&lt;=Inputs!$C$16,Inputs!$C$133*SUM(P22:P23)/365,"")</f>
        <v>0</v>
      </c>
      <c r="Q30" s="243">
        <f>IF(Q3&lt;=Inputs!$C$16,Inputs!$C$133*SUM(Q22:Q23)/365,"")</f>
        <v>0</v>
      </c>
      <c r="R30" s="243">
        <f>IF(R3&lt;=Inputs!$C$16,Inputs!$C$133*SUM(R22:R23)/365,"")</f>
        <v>0</v>
      </c>
      <c r="S30" s="243">
        <f>IF(S3&lt;=Inputs!$C$16,Inputs!$C$133*SUM(S22:S23)/365,"")</f>
        <v>0</v>
      </c>
      <c r="T30" s="243">
        <f>IF(T3&lt;=Inputs!$C$16,Inputs!$C$133*SUM(T22:T23)/365,"")</f>
        <v>0</v>
      </c>
      <c r="U30" s="243">
        <f>IF(U3&lt;=Inputs!$C$16,Inputs!$C$133*SUM(U22:U23)/365,"")</f>
        <v>0</v>
      </c>
      <c r="V30" s="243">
        <f>IF(V3&lt;=Inputs!$C$16,Inputs!$C$133*SUM(V22:V23)/365,"")</f>
        <v>0</v>
      </c>
      <c r="W30" s="243">
        <f>IF(W3&lt;=Inputs!$C$16,Inputs!$C$133*SUM(W22:W23)/365,"")</f>
        <v>0</v>
      </c>
      <c r="X30" s="243">
        <f>IF(X3&lt;=Inputs!$C$16,Inputs!$C$133*SUM(X22:X23)/365,"")</f>
        <v>0</v>
      </c>
      <c r="Y30" s="243">
        <f>IF(Y3&lt;=Inputs!$C$16,Inputs!$C$133*SUM(Y22:Y23)/365,"")</f>
        <v>0</v>
      </c>
      <c r="Z30" s="243">
        <f>IF(Z3&lt;=Inputs!$C$16,Inputs!$C$133*SUM(Z22:Z23)/365,"")</f>
        <v>0</v>
      </c>
      <c r="AA30" s="243">
        <f>IF(AA3&lt;=Inputs!$C$16,Inputs!$C$133*SUM(AA22:AA23)/365,"")</f>
        <v>0</v>
      </c>
      <c r="AB30" s="243">
        <f>IF(AB3&lt;=Inputs!$C$16,Inputs!$C$133*SUM(AB22:AB23)/365,"")</f>
        <v>0</v>
      </c>
      <c r="AC30" s="157"/>
      <c r="AD30" s="157"/>
      <c r="AE30" s="157"/>
      <c r="AF30" s="157"/>
      <c r="AG30" s="157"/>
      <c r="AH30" s="157"/>
      <c r="AI30" s="157"/>
      <c r="AJ30" s="157"/>
      <c r="AK30" s="157"/>
      <c r="AL30" s="157"/>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08"/>
      <c r="CV30" s="308"/>
      <c r="CW30" s="308"/>
      <c r="CX30" s="308"/>
      <c r="CY30" s="308"/>
      <c r="CZ30" s="308"/>
      <c r="DA30" s="308"/>
      <c r="DB30" s="308"/>
      <c r="DC30" s="308"/>
      <c r="DD30" s="308"/>
      <c r="DE30" s="308"/>
      <c r="DF30" s="308"/>
      <c r="DG30" s="308"/>
      <c r="DH30" s="308"/>
      <c r="DI30" s="308"/>
      <c r="DJ30" s="308"/>
      <c r="DK30" s="308"/>
      <c r="DL30" s="308"/>
      <c r="DM30" s="308"/>
      <c r="DN30" s="308"/>
      <c r="DO30" s="308"/>
      <c r="DP30" s="308"/>
      <c r="DQ30" s="308"/>
      <c r="DR30" s="308"/>
      <c r="DS30" s="308"/>
      <c r="DT30" s="308"/>
      <c r="DU30" s="308"/>
      <c r="DV30" s="308"/>
      <c r="DW30" s="308"/>
      <c r="DX30" s="308"/>
      <c r="DY30" s="308"/>
      <c r="DZ30" s="308"/>
      <c r="EA30" s="308"/>
      <c r="EB30" s="308"/>
    </row>
    <row r="31" spans="1:132" s="61" customFormat="1" ht="13.8" x14ac:dyDescent="0.3">
      <c r="A31" s="310" t="s">
        <v>164</v>
      </c>
      <c r="B31" s="304"/>
      <c r="C31" s="12"/>
      <c r="D31" s="11">
        <f>IF(D3&lt;=Inputs!$C$16,+C29+D27+D30,"")</f>
        <v>0</v>
      </c>
      <c r="E31" s="11">
        <f>IF(E3&lt;=Inputs!$C$16,+D29+E27+E30,"")</f>
        <v>0</v>
      </c>
      <c r="F31" s="11">
        <f>IF(F3&lt;=Inputs!$C$16,+E29+F27+F30,"")</f>
        <v>0</v>
      </c>
      <c r="G31" s="11">
        <f>IF(G3&lt;=Inputs!$C$16,+F29+G27+G30,"")</f>
        <v>0</v>
      </c>
      <c r="H31" s="11">
        <f>IF(H3&lt;=Inputs!$C$16,+G29+H27+H30,"")</f>
        <v>0</v>
      </c>
      <c r="I31" s="11">
        <f>IF(I3&lt;=Inputs!$C$16,+H29+I27+I30,"")</f>
        <v>0</v>
      </c>
      <c r="J31" s="11">
        <f>IF(J3&lt;=Inputs!$C$16,+I29+J27+J30,"")</f>
        <v>0</v>
      </c>
      <c r="K31" s="11">
        <f>IF(K3&lt;=Inputs!$C$16,+J29+K27+K30,"")</f>
        <v>0</v>
      </c>
      <c r="L31" s="11">
        <f>IF(L3&lt;=Inputs!$C$16,+K29+L27+L30,"")</f>
        <v>0</v>
      </c>
      <c r="M31" s="11">
        <f>IF(M3&lt;=Inputs!$C$16,+L29+M27+M30,"")</f>
        <v>0</v>
      </c>
      <c r="N31" s="11">
        <f>IF(N3&lt;=Inputs!$C$16,+M29+N27+N30,"")</f>
        <v>0</v>
      </c>
      <c r="O31" s="11">
        <f>IF(O3&lt;=Inputs!$C$16,+N29+O27+O30,"")</f>
        <v>0</v>
      </c>
      <c r="P31" s="11">
        <f>IF(P3&lt;=Inputs!$C$16,+O29+P27+P30,"")</f>
        <v>0</v>
      </c>
      <c r="Q31" s="11">
        <f>IF(Q3&lt;=Inputs!$C$16,+P29+Q27+Q30,"")</f>
        <v>0</v>
      </c>
      <c r="R31" s="11">
        <f>IF(R3&lt;=Inputs!$C$16,+Q29+R27+R30,"")</f>
        <v>0</v>
      </c>
      <c r="S31" s="11">
        <f>IF(S3&lt;=Inputs!$C$16,+R29+S27+S30,"")</f>
        <v>0</v>
      </c>
      <c r="T31" s="11">
        <f>IF(T3&lt;=Inputs!$C$16,+S29+T27+T30,"")</f>
        <v>0</v>
      </c>
      <c r="U31" s="11">
        <f>IF(U3&lt;=Inputs!$C$16,+T29+U27+U30,"")</f>
        <v>0</v>
      </c>
      <c r="V31" s="11">
        <f>IF(V3&lt;=Inputs!$C$16,+U29+V27+V30,"")</f>
        <v>0</v>
      </c>
      <c r="W31" s="11">
        <f>IF(W3&lt;=Inputs!$C$16,+V29+W27+W30,"")</f>
        <v>0</v>
      </c>
      <c r="X31" s="11">
        <f>IF(X3&lt;=Inputs!$C$16,+W29+X27+X30,"")</f>
        <v>0</v>
      </c>
      <c r="Y31" s="11">
        <f>IF(Y3&lt;=Inputs!$C$16,+X29+Y27+Y30,"")</f>
        <v>0</v>
      </c>
      <c r="Z31" s="11">
        <f>IF(Z3&lt;=Inputs!$C$16,+Y29+Z27+Z30,"")</f>
        <v>0</v>
      </c>
      <c r="AA31" s="11">
        <f>IF(AA3&lt;=Inputs!$C$16,+Z29+AA27+AA30,"")</f>
        <v>0</v>
      </c>
      <c r="AB31" s="11">
        <f>IF(AB3&lt;=Inputs!$C$16,+AA29+AB27+AB30,"")</f>
        <v>0</v>
      </c>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row>
    <row r="32" spans="1:132" s="314" customFormat="1" ht="13.8" x14ac:dyDescent="0.3">
      <c r="A32" s="311" t="s">
        <v>106</v>
      </c>
      <c r="B32" s="312" t="s">
        <v>83</v>
      </c>
      <c r="C32" s="148"/>
      <c r="D32" s="149" t="e">
        <f>IF(D3&lt;=Inputs!$C$16,Inputs!$D$187,"")</f>
        <v>#DIV/0!</v>
      </c>
      <c r="E32" s="149" t="e">
        <f>IF(E3&lt;=Inputs!$C$16,Inputs!$D$187,"")</f>
        <v>#DIV/0!</v>
      </c>
      <c r="F32" s="149" t="e">
        <f>IF(F3&lt;=Inputs!$C$16,Inputs!$D$187,"")</f>
        <v>#DIV/0!</v>
      </c>
      <c r="G32" s="149" t="e">
        <f>IF(G3&lt;=Inputs!$C$16,Inputs!$D$187,"")</f>
        <v>#DIV/0!</v>
      </c>
      <c r="H32" s="149" t="e">
        <f>IF(H3&lt;=Inputs!$C$16,Inputs!$D$187,"")</f>
        <v>#DIV/0!</v>
      </c>
      <c r="I32" s="149" t="e">
        <f>IF(I3&lt;=Inputs!$C$16,Inputs!$D$187,"")</f>
        <v>#DIV/0!</v>
      </c>
      <c r="J32" s="149" t="e">
        <f>IF(J3&lt;=Inputs!$C$16,Inputs!$D$187,"")</f>
        <v>#DIV/0!</v>
      </c>
      <c r="K32" s="149" t="e">
        <f>IF(K3&lt;=Inputs!$C$16,Inputs!$D$187,"")</f>
        <v>#DIV/0!</v>
      </c>
      <c r="L32" s="149" t="e">
        <f>IF(L3&lt;=Inputs!$C$16,Inputs!$D$187,"")</f>
        <v>#DIV/0!</v>
      </c>
      <c r="M32" s="149" t="e">
        <f>IF(M3&lt;=Inputs!$C$16,Inputs!$D$187,"")</f>
        <v>#DIV/0!</v>
      </c>
      <c r="N32" s="149" t="e">
        <f>IF(N3&lt;=Inputs!$C$16,Inputs!$D$187,"")</f>
        <v>#DIV/0!</v>
      </c>
      <c r="O32" s="149" t="e">
        <f>IF(O3&lt;=Inputs!$C$16,Inputs!$D$187,"")</f>
        <v>#DIV/0!</v>
      </c>
      <c r="P32" s="149" t="e">
        <f>IF(P3&lt;=Inputs!$C$16,Inputs!$D$187,"")</f>
        <v>#DIV/0!</v>
      </c>
      <c r="Q32" s="149" t="e">
        <f>IF(Q3&lt;=Inputs!$C$16,Inputs!$D$187,"")</f>
        <v>#DIV/0!</v>
      </c>
      <c r="R32" s="149" t="e">
        <f>IF(R3&lt;=Inputs!$C$16,Inputs!$D$187,"")</f>
        <v>#DIV/0!</v>
      </c>
      <c r="S32" s="149" t="e">
        <f>IF(S3&lt;=Inputs!$C$16,Inputs!$D$187,"")</f>
        <v>#DIV/0!</v>
      </c>
      <c r="T32" s="149" t="e">
        <f>IF(T3&lt;=Inputs!$C$16,Inputs!$D$187,"")</f>
        <v>#DIV/0!</v>
      </c>
      <c r="U32" s="149" t="e">
        <f>IF(U3&lt;=Inputs!$C$16,Inputs!$D$187,"")</f>
        <v>#DIV/0!</v>
      </c>
      <c r="V32" s="149" t="e">
        <f>IF(V3&lt;=Inputs!$C$16,Inputs!$D$187,"")</f>
        <v>#DIV/0!</v>
      </c>
      <c r="W32" s="149" t="e">
        <f>IF(W3&lt;=Inputs!$C$16,Inputs!$D$187,"")</f>
        <v>#DIV/0!</v>
      </c>
      <c r="X32" s="149" t="e">
        <f>IF(X3&lt;=Inputs!$C$16,Inputs!$D$187,"")</f>
        <v>#DIV/0!</v>
      </c>
      <c r="Y32" s="149" t="e">
        <f>IF(Y3&lt;=Inputs!$C$16,Inputs!$D$187,"")</f>
        <v>#DIV/0!</v>
      </c>
      <c r="Z32" s="149" t="e">
        <f>IF(Z3&lt;=Inputs!$C$16,Inputs!$D$187,"")</f>
        <v>#DIV/0!</v>
      </c>
      <c r="AA32" s="149" t="e">
        <f>IF(AA3&lt;=Inputs!$C$16,Inputs!$D$187,"")</f>
        <v>#DIV/0!</v>
      </c>
      <c r="AB32" s="149" t="e">
        <f>IF(AB3&lt;=Inputs!$C$16,Inputs!$D$187,"")</f>
        <v>#DIV/0!</v>
      </c>
      <c r="AC32" s="157"/>
      <c r="AD32" s="157"/>
      <c r="AE32" s="157"/>
      <c r="AF32" s="157"/>
      <c r="AG32" s="157"/>
      <c r="AH32" s="157"/>
      <c r="AI32" s="157"/>
      <c r="AJ32" s="157"/>
      <c r="AK32" s="157"/>
      <c r="AL32" s="157"/>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row>
    <row r="33" spans="1:132" s="61" customFormat="1" ht="13.8" x14ac:dyDescent="0.3">
      <c r="A33" s="294" t="s">
        <v>170</v>
      </c>
      <c r="B33" s="304"/>
      <c r="C33" s="12"/>
      <c r="D33" s="454" t="e">
        <f>IF(D3&lt;=Inputs!$C$16,D31*D32,"")</f>
        <v>#DIV/0!</v>
      </c>
      <c r="E33" s="11" t="e">
        <f>IF(E3&lt;=Inputs!$C$16,E31*E32,"")</f>
        <v>#DIV/0!</v>
      </c>
      <c r="F33" s="11" t="e">
        <f>IF(F3&lt;=Inputs!$C$16,F31*F32,"")</f>
        <v>#DIV/0!</v>
      </c>
      <c r="G33" s="11" t="e">
        <f>IF(G3&lt;=Inputs!$C$16,G31*G32,"")</f>
        <v>#DIV/0!</v>
      </c>
      <c r="H33" s="11" t="e">
        <f>IF(H3&lt;=Inputs!$C$16,H31*H32,"")</f>
        <v>#DIV/0!</v>
      </c>
      <c r="I33" s="11" t="e">
        <f>IF(I3&lt;=Inputs!$C$16,I31*I32,"")</f>
        <v>#DIV/0!</v>
      </c>
      <c r="J33" s="11" t="e">
        <f>IF(J3&lt;=Inputs!$C$16,J31*J32,"")</f>
        <v>#DIV/0!</v>
      </c>
      <c r="K33" s="11" t="e">
        <f>IF(K3&lt;=Inputs!$C$16,K31*K32,"")</f>
        <v>#DIV/0!</v>
      </c>
      <c r="L33" s="11" t="e">
        <f>IF(L3&lt;=Inputs!$C$16,L31*L32,"")</f>
        <v>#DIV/0!</v>
      </c>
      <c r="M33" s="11" t="e">
        <f>IF(M3&lt;=Inputs!$C$16,M31*M32,"")</f>
        <v>#DIV/0!</v>
      </c>
      <c r="N33" s="11" t="e">
        <f>IF(N3&lt;=Inputs!$C$16,N31*N32,"")</f>
        <v>#DIV/0!</v>
      </c>
      <c r="O33" s="11" t="e">
        <f>IF(O3&lt;=Inputs!$C$16,O31*O32,"")</f>
        <v>#DIV/0!</v>
      </c>
      <c r="P33" s="11" t="e">
        <f>IF(P3&lt;=Inputs!$C$16,P31*P32,"")</f>
        <v>#DIV/0!</v>
      </c>
      <c r="Q33" s="11" t="e">
        <f>IF(Q3&lt;=Inputs!$C$16,Q31*Q32,"")</f>
        <v>#DIV/0!</v>
      </c>
      <c r="R33" s="11" t="e">
        <f>IF(R3&lt;=Inputs!$C$16,R31*R32,"")</f>
        <v>#DIV/0!</v>
      </c>
      <c r="S33" s="11" t="e">
        <f>IF(S3&lt;=Inputs!$C$16,S31*S32,"")</f>
        <v>#DIV/0!</v>
      </c>
      <c r="T33" s="11" t="e">
        <f>IF(T3&lt;=Inputs!$C$16,T31*T32,"")</f>
        <v>#DIV/0!</v>
      </c>
      <c r="U33" s="11" t="e">
        <f>IF(U3&lt;=Inputs!$C$16,U31*U32,"")</f>
        <v>#DIV/0!</v>
      </c>
      <c r="V33" s="11" t="e">
        <f>IF(V3&lt;=Inputs!$C$16,V31*V32,"")</f>
        <v>#DIV/0!</v>
      </c>
      <c r="W33" s="11" t="e">
        <f>IF(W3&lt;=Inputs!$C$16,W31*W32,"")</f>
        <v>#DIV/0!</v>
      </c>
      <c r="X33" s="11" t="e">
        <f>IF(X3&lt;=Inputs!$C$16,X31*X32,"")</f>
        <v>#DIV/0!</v>
      </c>
      <c r="Y33" s="11" t="e">
        <f>IF(Y3&lt;=Inputs!$C$16,Y31*Y32,"")</f>
        <v>#DIV/0!</v>
      </c>
      <c r="Z33" s="11" t="e">
        <f>IF(Z3&lt;=Inputs!$C$16,Z31*Z32,"")</f>
        <v>#DIV/0!</v>
      </c>
      <c r="AA33" s="11" t="e">
        <f>IF(AA3&lt;=Inputs!$C$16,AA31*AA32,"")</f>
        <v>#DIV/0!</v>
      </c>
      <c r="AB33" s="11" t="e">
        <f>IF(AB3&lt;=Inputs!$C$16,AB31*AB32,"")</f>
        <v>#DIV/0!</v>
      </c>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row>
    <row r="34" spans="1:132" s="61" customFormat="1" ht="13.8" x14ac:dyDescent="0.3">
      <c r="A34" s="305" t="s">
        <v>171</v>
      </c>
      <c r="B34" s="304"/>
      <c r="C34" s="12"/>
      <c r="D34" s="11">
        <f>IF(D3&lt;=Inputs!$C$16,D31*Inputs!$D$183*Inputs!$D$185,"")</f>
        <v>0</v>
      </c>
      <c r="E34" s="11">
        <f>IF(E3&lt;=Inputs!$C$16,E31*Inputs!$D$183*Inputs!$D$185,"")</f>
        <v>0</v>
      </c>
      <c r="F34" s="11">
        <f>IF(F3&lt;=Inputs!$C$16,F31*Inputs!$D$183*Inputs!$D$185,"")</f>
        <v>0</v>
      </c>
      <c r="G34" s="11">
        <f>IF(G3&lt;=Inputs!$C$16,G31*Inputs!$D$183*Inputs!$D$185,"")</f>
        <v>0</v>
      </c>
      <c r="H34" s="11">
        <f>IF(H3&lt;=Inputs!$C$16,H31*Inputs!$D$183*Inputs!$D$185,"")</f>
        <v>0</v>
      </c>
      <c r="I34" s="11">
        <f>IF(I3&lt;=Inputs!$C$16,I31*Inputs!$D$183*Inputs!$D$185,"")</f>
        <v>0</v>
      </c>
      <c r="J34" s="11">
        <f>IF(J3&lt;=Inputs!$C$16,J31*Inputs!$D$183*Inputs!$D$185,"")</f>
        <v>0</v>
      </c>
      <c r="K34" s="11">
        <f>IF(K3&lt;=Inputs!$C$16,K31*Inputs!$D$183*Inputs!$D$185,"")</f>
        <v>0</v>
      </c>
      <c r="L34" s="11">
        <f>IF(L3&lt;=Inputs!$C$16,L31*Inputs!$D$183*Inputs!$D$185,"")</f>
        <v>0</v>
      </c>
      <c r="M34" s="11">
        <f>IF(M3&lt;=Inputs!$C$16,M31*Inputs!$D$183*Inputs!$D$185,"")</f>
        <v>0</v>
      </c>
      <c r="N34" s="11">
        <f>IF(N3&lt;=Inputs!$C$16,N31*Inputs!$D$183*Inputs!$D$185,"")</f>
        <v>0</v>
      </c>
      <c r="O34" s="11">
        <f>IF(O3&lt;=Inputs!$C$16,O31*Inputs!$D$183*Inputs!$D$185,"")</f>
        <v>0</v>
      </c>
      <c r="P34" s="11">
        <f>IF(P3&lt;=Inputs!$C$16,P31*Inputs!$D$183*Inputs!$D$185,"")</f>
        <v>0</v>
      </c>
      <c r="Q34" s="11">
        <f>IF(Q3&lt;=Inputs!$C$16,Q31*Inputs!$D$183*Inputs!$D$185,"")</f>
        <v>0</v>
      </c>
      <c r="R34" s="11">
        <f>IF(R3&lt;=Inputs!$C$16,R31*Inputs!$D$183*Inputs!$D$185,"")</f>
        <v>0</v>
      </c>
      <c r="S34" s="11">
        <f>IF(S3&lt;=Inputs!$C$16,S31*Inputs!$D$183*Inputs!$D$185,"")</f>
        <v>0</v>
      </c>
      <c r="T34" s="11">
        <f>IF(T3&lt;=Inputs!$C$16,T31*Inputs!$D$183*Inputs!$D$185,"")</f>
        <v>0</v>
      </c>
      <c r="U34" s="11">
        <f>IF(U3&lt;=Inputs!$C$16,U31*Inputs!$D$183*Inputs!$D$185,"")</f>
        <v>0</v>
      </c>
      <c r="V34" s="11">
        <f>IF(V3&lt;=Inputs!$C$16,V31*Inputs!$D$183*Inputs!$D$185,"")</f>
        <v>0</v>
      </c>
      <c r="W34" s="11">
        <f>IF(W3&lt;=Inputs!$C$16,W31*Inputs!$D$183*Inputs!$D$185,"")</f>
        <v>0</v>
      </c>
      <c r="X34" s="11">
        <f>IF(X3&lt;=Inputs!$C$16,X31*Inputs!$D$183*Inputs!$D$185,"")</f>
        <v>0</v>
      </c>
      <c r="Y34" s="11">
        <f>IF(Y3&lt;=Inputs!$C$16,Y31*Inputs!$D$183*Inputs!$D$185,"")</f>
        <v>0</v>
      </c>
      <c r="Z34" s="11">
        <f>IF(Z3&lt;=Inputs!$C$16,Z31*Inputs!$D$183*Inputs!$D$185,"")</f>
        <v>0</v>
      </c>
      <c r="AA34" s="11">
        <f>IF(AA3&lt;=Inputs!$C$16,AA31*Inputs!$D$183*Inputs!$D$185,"")</f>
        <v>0</v>
      </c>
      <c r="AB34" s="11">
        <f>IF(AB3&lt;=Inputs!$C$16,AB31*Inputs!$D$183*Inputs!$D$185,"")</f>
        <v>0</v>
      </c>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row>
    <row r="35" spans="1:132" s="61" customFormat="1" ht="13.8" x14ac:dyDescent="0.3">
      <c r="A35" s="305" t="s">
        <v>172</v>
      </c>
      <c r="B35" s="304"/>
      <c r="C35" s="12"/>
      <c r="D35" s="11" t="e">
        <f>IF(D3&lt;=Inputs!$C$16,D31*Inputs!$D$184*Inputs!$D$186,"")</f>
        <v>#DIV/0!</v>
      </c>
      <c r="E35" s="11" t="e">
        <f>IF(E3&lt;=Inputs!$C$16,E31*Inputs!$D$184*Inputs!$D$186,"")</f>
        <v>#DIV/0!</v>
      </c>
      <c r="F35" s="11" t="e">
        <f>IF(F3&lt;=Inputs!$C$16,F31*Inputs!$D$184*Inputs!$D$186,"")</f>
        <v>#DIV/0!</v>
      </c>
      <c r="G35" s="11" t="e">
        <f>IF(G3&lt;=Inputs!$C$16,G31*Inputs!$D$184*Inputs!$D$186,"")</f>
        <v>#DIV/0!</v>
      </c>
      <c r="H35" s="11" t="e">
        <f>IF(H3&lt;=Inputs!$C$16,H31*Inputs!$D$184*Inputs!$D$186,"")</f>
        <v>#DIV/0!</v>
      </c>
      <c r="I35" s="11" t="e">
        <f>IF(I3&lt;=Inputs!$C$16,I31*Inputs!$D$184*Inputs!$D$186,"")</f>
        <v>#DIV/0!</v>
      </c>
      <c r="J35" s="11" t="e">
        <f>IF(J3&lt;=Inputs!$C$16,J31*Inputs!$D$184*Inputs!$D$186,"")</f>
        <v>#DIV/0!</v>
      </c>
      <c r="K35" s="11" t="e">
        <f>IF(K3&lt;=Inputs!$C$16,K31*Inputs!$D$184*Inputs!$D$186,"")</f>
        <v>#DIV/0!</v>
      </c>
      <c r="L35" s="11" t="e">
        <f>IF(L3&lt;=Inputs!$C$16,L31*Inputs!$D$184*Inputs!$D$186,"")</f>
        <v>#DIV/0!</v>
      </c>
      <c r="M35" s="11" t="e">
        <f>IF(M3&lt;=Inputs!$C$16,M31*Inputs!$D$184*Inputs!$D$186,"")</f>
        <v>#DIV/0!</v>
      </c>
      <c r="N35" s="11" t="e">
        <f>IF(N3&lt;=Inputs!$C$16,N31*Inputs!$D$184*Inputs!$D$186,"")</f>
        <v>#DIV/0!</v>
      </c>
      <c r="O35" s="11" t="e">
        <f>IF(O3&lt;=Inputs!$C$16,O31*Inputs!$D$184*Inputs!$D$186,"")</f>
        <v>#DIV/0!</v>
      </c>
      <c r="P35" s="11" t="e">
        <f>IF(P3&lt;=Inputs!$C$16,P31*Inputs!$D$184*Inputs!$D$186,"")</f>
        <v>#DIV/0!</v>
      </c>
      <c r="Q35" s="11" t="e">
        <f>IF(Q3&lt;=Inputs!$C$16,Q31*Inputs!$D$184*Inputs!$D$186,"")</f>
        <v>#DIV/0!</v>
      </c>
      <c r="R35" s="11" t="e">
        <f>IF(R3&lt;=Inputs!$C$16,R31*Inputs!$D$184*Inputs!$D$186,"")</f>
        <v>#DIV/0!</v>
      </c>
      <c r="S35" s="11" t="e">
        <f>IF(S3&lt;=Inputs!$C$16,S31*Inputs!$D$184*Inputs!$D$186,"")</f>
        <v>#DIV/0!</v>
      </c>
      <c r="T35" s="11" t="e">
        <f>IF(T3&lt;=Inputs!$C$16,T31*Inputs!$D$184*Inputs!$D$186,"")</f>
        <v>#DIV/0!</v>
      </c>
      <c r="U35" s="11" t="e">
        <f>IF(U3&lt;=Inputs!$C$16,U31*Inputs!$D$184*Inputs!$D$186,"")</f>
        <v>#DIV/0!</v>
      </c>
      <c r="V35" s="11" t="e">
        <f>IF(V3&lt;=Inputs!$C$16,V31*Inputs!$D$184*Inputs!$D$186,"")</f>
        <v>#DIV/0!</v>
      </c>
      <c r="W35" s="11" t="e">
        <f>IF(W3&lt;=Inputs!$C$16,W31*Inputs!$D$184*Inputs!$D$186,"")</f>
        <v>#DIV/0!</v>
      </c>
      <c r="X35" s="11" t="e">
        <f>IF(X3&lt;=Inputs!$C$16,X31*Inputs!$D$184*Inputs!$D$186,"")</f>
        <v>#DIV/0!</v>
      </c>
      <c r="Y35" s="11" t="e">
        <f>IF(Y3&lt;=Inputs!$C$16,Y31*Inputs!$D$184*Inputs!$D$186,"")</f>
        <v>#DIV/0!</v>
      </c>
      <c r="Z35" s="11" t="e">
        <f>IF(Z3&lt;=Inputs!$C$16,Z31*Inputs!$D$184*Inputs!$D$186,"")</f>
        <v>#DIV/0!</v>
      </c>
      <c r="AA35" s="11" t="e">
        <f>IF(AA3&lt;=Inputs!$C$16,AA31*Inputs!$D$184*Inputs!$D$186,"")</f>
        <v>#DIV/0!</v>
      </c>
      <c r="AB35" s="11" t="e">
        <f>IF(AB3&lt;=Inputs!$C$16,AB31*Inputs!$D$184*Inputs!$D$186,"")</f>
        <v>#DIV/0!</v>
      </c>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row>
    <row r="36" spans="1:132" s="61" customFormat="1" ht="13.8" x14ac:dyDescent="0.3">
      <c r="A36" s="302" t="s">
        <v>169</v>
      </c>
      <c r="B36" s="281"/>
      <c r="C36" s="232"/>
      <c r="D36" s="233" t="e">
        <f>IF(D3&lt;=Inputs!$C$16,(D35/(1-Inputs!$C$213))-D35,"")</f>
        <v>#DIV/0!</v>
      </c>
      <c r="E36" s="233" t="e">
        <f>IF(E3&lt;=Inputs!$C$16,(E35/(1-Inputs!$C$213))-E35,"")</f>
        <v>#DIV/0!</v>
      </c>
      <c r="F36" s="233" t="e">
        <f>IF(F3&lt;=Inputs!$C$16,(F35/(1-Inputs!$C$213))-F35,"")</f>
        <v>#DIV/0!</v>
      </c>
      <c r="G36" s="233" t="e">
        <f>IF(G3&lt;=Inputs!$C$16,(G35/(1-Inputs!$C$213))-G35,"")</f>
        <v>#DIV/0!</v>
      </c>
      <c r="H36" s="233" t="e">
        <f>IF(H3&lt;=Inputs!$C$16,(H35/(1-Inputs!$C$213))-H35,"")</f>
        <v>#DIV/0!</v>
      </c>
      <c r="I36" s="233" t="e">
        <f>IF(I3&lt;=Inputs!$C$16,(I35/(1-Inputs!$C$213))-I35,"")</f>
        <v>#DIV/0!</v>
      </c>
      <c r="J36" s="233" t="e">
        <f>IF(J3&lt;=Inputs!$C$16,(J35/(1-Inputs!$C$213))-J35,"")</f>
        <v>#DIV/0!</v>
      </c>
      <c r="K36" s="233" t="e">
        <f>IF(K3&lt;=Inputs!$C$16,(K35/(1-Inputs!$C$213))-K35,"")</f>
        <v>#DIV/0!</v>
      </c>
      <c r="L36" s="233" t="e">
        <f>IF(L3&lt;=Inputs!$C$16,(L35/(1-Inputs!$C$213))-L35,"")</f>
        <v>#DIV/0!</v>
      </c>
      <c r="M36" s="233" t="e">
        <f>IF(M3&lt;=Inputs!$C$16,(M35/(1-Inputs!$C$213))-M35,"")</f>
        <v>#DIV/0!</v>
      </c>
      <c r="N36" s="233" t="e">
        <f>IF(N3&lt;=Inputs!$C$16,(N35/(1-Inputs!$C$213))-N35,"")</f>
        <v>#DIV/0!</v>
      </c>
      <c r="O36" s="233" t="e">
        <f>IF(O3&lt;=Inputs!$C$16,(O35/(1-Inputs!$C$213))-O35,"")</f>
        <v>#DIV/0!</v>
      </c>
      <c r="P36" s="233" t="e">
        <f>IF(P3&lt;=Inputs!$C$16,(P35/(1-Inputs!$C$213))-P35,"")</f>
        <v>#DIV/0!</v>
      </c>
      <c r="Q36" s="233" t="e">
        <f>IF(Q3&lt;=Inputs!$C$16,(Q35/(1-Inputs!$C$213))-Q35,"")</f>
        <v>#DIV/0!</v>
      </c>
      <c r="R36" s="233" t="e">
        <f>IF(R3&lt;=Inputs!$C$16,(R35/(1-Inputs!$C$213))-R35,"")</f>
        <v>#DIV/0!</v>
      </c>
      <c r="S36" s="233" t="e">
        <f>IF(S3&lt;=Inputs!$C$16,(S35/(1-Inputs!$C$213))-S35,"")</f>
        <v>#DIV/0!</v>
      </c>
      <c r="T36" s="233" t="e">
        <f>IF(T3&lt;=Inputs!$C$16,(T35/(1-Inputs!$C$213))-T35,"")</f>
        <v>#DIV/0!</v>
      </c>
      <c r="U36" s="233" t="e">
        <f>IF(U3&lt;=Inputs!$C$16,(U35/(1-Inputs!$C$213))-U35,"")</f>
        <v>#DIV/0!</v>
      </c>
      <c r="V36" s="233" t="e">
        <f>IF(V3&lt;=Inputs!$C$16,(V35/(1-Inputs!$C$213))-V35,"")</f>
        <v>#DIV/0!</v>
      </c>
      <c r="W36" s="233" t="e">
        <f>IF(W3&lt;=Inputs!$C$16,(W35/(1-Inputs!$C$213))-W35,"")</f>
        <v>#DIV/0!</v>
      </c>
      <c r="X36" s="233" t="e">
        <f>IF(X3&lt;=Inputs!$C$16,(X35/(1-Inputs!$C$213))-X35,"")</f>
        <v>#DIV/0!</v>
      </c>
      <c r="Y36" s="233" t="e">
        <f>IF(Y3&lt;=Inputs!$C$16,(Y35/(1-Inputs!$C$213))-Y35,"")</f>
        <v>#DIV/0!</v>
      </c>
      <c r="Z36" s="233" t="e">
        <f>IF(Z3&lt;=Inputs!$C$16,(Z35/(1-Inputs!$C$213))-Z35,"")</f>
        <v>#DIV/0!</v>
      </c>
      <c r="AA36" s="233" t="e">
        <f>IF(AA3&lt;=Inputs!$C$16,(AA35/(1-Inputs!$C$213))-AA35,"")</f>
        <v>#DIV/0!</v>
      </c>
      <c r="AB36" s="233" t="e">
        <f>IF(AB3&lt;=Inputs!$C$16,(AB35/(1-Inputs!$C$213))-AB35,"")</f>
        <v>#DIV/0!</v>
      </c>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row>
    <row r="37" spans="1:132" s="176" customFormat="1" thickBot="1" x14ac:dyDescent="0.35">
      <c r="A37" s="315" t="s">
        <v>0</v>
      </c>
      <c r="B37" s="316"/>
      <c r="C37" s="244"/>
      <c r="D37" s="245" t="e">
        <f>IF(D3&lt;=Inputs!$C$16,D22+D23-D28+D33+D36,"")</f>
        <v>#DIV/0!</v>
      </c>
      <c r="E37" s="245" t="e">
        <f>IF(E3&lt;=Inputs!$C$16,E22+E23-E28+E33+E36,"")</f>
        <v>#DIV/0!</v>
      </c>
      <c r="F37" s="245" t="e">
        <f>IF(F3&lt;=Inputs!$C$16,F22+F23-F28+F33+F36,"")</f>
        <v>#DIV/0!</v>
      </c>
      <c r="G37" s="245" t="e">
        <f>IF(G3&lt;=Inputs!$C$16,G22+G23-G28+G33+G36,"")</f>
        <v>#DIV/0!</v>
      </c>
      <c r="H37" s="245" t="e">
        <f>IF(H3&lt;=Inputs!$C$16,H22+H23-H28+H33+H36,"")</f>
        <v>#DIV/0!</v>
      </c>
      <c r="I37" s="245" t="e">
        <f>IF(I3&lt;=Inputs!$C$16,I22+I23-I28+I33+I36,"")</f>
        <v>#DIV/0!</v>
      </c>
      <c r="J37" s="245" t="e">
        <f>IF(J3&lt;=Inputs!$C$16,J22+J23-J28+J33+J36,"")</f>
        <v>#DIV/0!</v>
      </c>
      <c r="K37" s="245" t="e">
        <f>IF(K3&lt;=Inputs!$C$16,K22+K23-K28+K33+K36,"")</f>
        <v>#DIV/0!</v>
      </c>
      <c r="L37" s="245" t="e">
        <f>IF(L3&lt;=Inputs!$C$16,L22+L23-L28+L33+L36,"")</f>
        <v>#DIV/0!</v>
      </c>
      <c r="M37" s="245" t="e">
        <f>IF(M3&lt;=Inputs!$C$16,M22+M23-M28+M33+M36,"")</f>
        <v>#DIV/0!</v>
      </c>
      <c r="N37" s="245" t="e">
        <f>IF(N3&lt;=Inputs!$C$16,N22+N23-N28+N33+N36,"")</f>
        <v>#DIV/0!</v>
      </c>
      <c r="O37" s="245" t="e">
        <f>IF(O3&lt;=Inputs!$C$16,O22+O23-O28+O33+O36,"")</f>
        <v>#DIV/0!</v>
      </c>
      <c r="P37" s="245" t="e">
        <f>IF(P3&lt;=Inputs!$C$16,P22+P23-P28+P33+P36,"")</f>
        <v>#DIV/0!</v>
      </c>
      <c r="Q37" s="245" t="e">
        <f>IF(Q3&lt;=Inputs!$C$16,Q22+Q23-Q28+Q33+Q36,"")</f>
        <v>#DIV/0!</v>
      </c>
      <c r="R37" s="245" t="e">
        <f>IF(R3&lt;=Inputs!$C$16,R22+R23-R28+R33+R36,"")</f>
        <v>#DIV/0!</v>
      </c>
      <c r="S37" s="245" t="e">
        <f>IF(S3&lt;=Inputs!$C$16,S22+S23-S28+S33+S36,"")</f>
        <v>#DIV/0!</v>
      </c>
      <c r="T37" s="245" t="e">
        <f>IF(T3&lt;=Inputs!$C$16,T22+T23-T28+T33+T36,"")</f>
        <v>#DIV/0!</v>
      </c>
      <c r="U37" s="245" t="e">
        <f>IF(U3&lt;=Inputs!$C$16,U22+U23-U28+U33+U36,"")</f>
        <v>#DIV/0!</v>
      </c>
      <c r="V37" s="245" t="e">
        <f>IF(V3&lt;=Inputs!$C$16,V22+V23-V28+V33+V36,"")</f>
        <v>#DIV/0!</v>
      </c>
      <c r="W37" s="245" t="e">
        <f>IF(W3&lt;=Inputs!$C$16,W22+W23-W28+W33+W36,"")</f>
        <v>#DIV/0!</v>
      </c>
      <c r="X37" s="245" t="e">
        <f>IF(X3&lt;=Inputs!$C$16,X22+X23-X28+X33+X36,"")</f>
        <v>#DIV/0!</v>
      </c>
      <c r="Y37" s="245" t="e">
        <f>IF(Y3&lt;=Inputs!$C$16,Y22+Y23-Y28+Y33+Y36,"")</f>
        <v>#DIV/0!</v>
      </c>
      <c r="Z37" s="245" t="e">
        <f>IF(Z3&lt;=Inputs!$C$16,Z22+Z23-Z28+Z33+Z36,"")</f>
        <v>#DIV/0!</v>
      </c>
      <c r="AA37" s="245" t="e">
        <f>IF(AA3&lt;=Inputs!$C$16,AA22+AA23-AA28+AA33+AA36,"")</f>
        <v>#DIV/0!</v>
      </c>
      <c r="AB37" s="245" t="e">
        <f>IF(AB3&lt;=Inputs!$C$16,AB22+AB23-AB28+AB33+AB36,"")</f>
        <v>#DIV/0!</v>
      </c>
      <c r="AC37" s="157"/>
      <c r="AD37" s="157"/>
      <c r="AE37" s="157"/>
      <c r="AF37" s="157"/>
      <c r="AG37" s="157"/>
      <c r="AH37" s="157"/>
      <c r="AI37" s="157"/>
      <c r="AJ37" s="157"/>
      <c r="AK37" s="157"/>
      <c r="AL37" s="15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317"/>
      <c r="DL37" s="317"/>
      <c r="DM37" s="317"/>
      <c r="DN37" s="317"/>
      <c r="DO37" s="317"/>
      <c r="DP37" s="317"/>
      <c r="DQ37" s="317"/>
      <c r="DR37" s="317"/>
      <c r="DS37" s="317"/>
      <c r="DT37" s="317"/>
      <c r="DU37" s="317"/>
      <c r="DV37" s="317"/>
      <c r="DW37" s="317"/>
      <c r="DX37" s="317"/>
      <c r="DY37" s="317"/>
      <c r="DZ37" s="317"/>
      <c r="EA37" s="317"/>
      <c r="EB37" s="317"/>
    </row>
    <row r="38" spans="1:132" s="75" customFormat="1" thickTop="1" x14ac:dyDescent="0.3">
      <c r="A38" s="394" t="s">
        <v>200</v>
      </c>
      <c r="B38" s="319"/>
      <c r="C38" s="319"/>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row>
    <row r="39" spans="1:132" s="61" customFormat="1" ht="13.8" x14ac:dyDescent="0.3">
      <c r="B39" s="60"/>
      <c r="C39" s="60"/>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c r="EA39" s="157"/>
      <c r="EB39" s="157"/>
    </row>
    <row r="40" spans="1:132" x14ac:dyDescent="0.3">
      <c r="A40" s="320" t="s">
        <v>478</v>
      </c>
      <c r="B40" s="321"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40" s="246"/>
      <c r="D40" s="247" t="e">
        <f>IF(D3&lt;=Inputs!$C$16,D37/D12,"")</f>
        <v>#DIV/0!</v>
      </c>
      <c r="E40" s="247" t="e">
        <f>IF(E3&lt;=Inputs!$C$16,E37/E12,"")</f>
        <v>#DIV/0!</v>
      </c>
      <c r="F40" s="247" t="e">
        <f>IF(F3&lt;=Inputs!$C$16,F37/F12,"")</f>
        <v>#DIV/0!</v>
      </c>
      <c r="G40" s="247" t="e">
        <f>IF(G3&lt;=Inputs!$C$16,G37/G12,"")</f>
        <v>#DIV/0!</v>
      </c>
      <c r="H40" s="247" t="e">
        <f>IF(H3&lt;=Inputs!$C$16,H37/H12,"")</f>
        <v>#DIV/0!</v>
      </c>
      <c r="I40" s="247" t="e">
        <f>IF(I3&lt;=Inputs!$C$16,I37/I12,"")</f>
        <v>#DIV/0!</v>
      </c>
      <c r="J40" s="247" t="e">
        <f>IF(J3&lt;=Inputs!$C$16,J37/J12,"")</f>
        <v>#DIV/0!</v>
      </c>
      <c r="K40" s="247" t="e">
        <f>IF(K3&lt;=Inputs!$C$16,K37/K12,"")</f>
        <v>#DIV/0!</v>
      </c>
      <c r="L40" s="247" t="e">
        <f>IF(L3&lt;=Inputs!$C$16,L37/L12,"")</f>
        <v>#DIV/0!</v>
      </c>
      <c r="M40" s="247" t="e">
        <f>IF(M3&lt;=Inputs!$C$16,M37/M12,"")</f>
        <v>#DIV/0!</v>
      </c>
      <c r="N40" s="247" t="e">
        <f>IF(N3&lt;=Inputs!$C$16,N37/N12,"")</f>
        <v>#DIV/0!</v>
      </c>
      <c r="O40" s="247" t="e">
        <f>IF(O3&lt;=Inputs!$C$16,O37/O12,"")</f>
        <v>#DIV/0!</v>
      </c>
      <c r="P40" s="247" t="e">
        <f>IF(P3&lt;=Inputs!$C$16,P37/P12,"")</f>
        <v>#DIV/0!</v>
      </c>
      <c r="Q40" s="247" t="e">
        <f>IF(Q3&lt;=Inputs!$C$16,Q37/Q12,"")</f>
        <v>#DIV/0!</v>
      </c>
      <c r="R40" s="247" t="e">
        <f>IF(R3&lt;=Inputs!$C$16,R37/R12,"")</f>
        <v>#DIV/0!</v>
      </c>
      <c r="S40" s="247" t="e">
        <f>IF(S3&lt;=Inputs!$C$16,S37/S12,"")</f>
        <v>#DIV/0!</v>
      </c>
      <c r="T40" s="247" t="e">
        <f>IF(T3&lt;=Inputs!$C$16,T37/T12,"")</f>
        <v>#DIV/0!</v>
      </c>
      <c r="U40" s="247" t="e">
        <f>IF(U3&lt;=Inputs!$C$16,U37/U12,"")</f>
        <v>#DIV/0!</v>
      </c>
      <c r="V40" s="247" t="e">
        <f>IF(V3&lt;=Inputs!$C$16,V37/V12,"")</f>
        <v>#DIV/0!</v>
      </c>
      <c r="W40" s="247" t="e">
        <f>IF(W3&lt;=Inputs!$C$16,W37/W12,"")</f>
        <v>#DIV/0!</v>
      </c>
      <c r="X40" s="247" t="e">
        <f>IF(X3&lt;=Inputs!$C$16,X37/X12,"")</f>
        <v>#DIV/0!</v>
      </c>
      <c r="Y40" s="247" t="e">
        <f>IF(Y3&lt;=Inputs!$C$16,Y37/Y12,"")</f>
        <v>#DIV/0!</v>
      </c>
      <c r="Z40" s="247" t="e">
        <f>IF(Z3&lt;=Inputs!$C$16,Z37/Z12,"")</f>
        <v>#DIV/0!</v>
      </c>
      <c r="AA40" s="247" t="e">
        <f>IF(AA3&lt;=Inputs!$C$16,AA37/AA12,"")</f>
        <v>#DIV/0!</v>
      </c>
      <c r="AB40" s="247" t="e">
        <f>IF(AB3&lt;=Inputs!$C$16,AB37/AB12,"")</f>
        <v>#DIV/0!</v>
      </c>
      <c r="AC40" s="157"/>
      <c r="AD40" s="157"/>
      <c r="AE40" s="157"/>
      <c r="AF40" s="157"/>
      <c r="AG40" s="157"/>
      <c r="AH40" s="157"/>
      <c r="AI40" s="157"/>
      <c r="AJ40" s="157"/>
      <c r="AK40" s="157"/>
      <c r="AL40" s="157"/>
    </row>
    <row r="41" spans="1:132" s="61" customFormat="1" x14ac:dyDescent="0.3">
      <c r="B41" s="321" t="str">
        <f>IF(Inputs!B222="USD","USD/kWh",IF(Inputs!B222="Euro","Euro/kWh",IF(Inputs!B222="GBP","GBP/kWh",IF(Inputs!B222="CFA","CFA/kWh",""))))</f>
        <v>USD/kWh</v>
      </c>
      <c r="C41" s="246"/>
      <c r="D41" s="248" t="e">
        <f>D40/Inputs!$C$216</f>
        <v>#DIV/0!</v>
      </c>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7"/>
      <c r="CR41" s="157"/>
      <c r="CS41" s="157"/>
      <c r="CT41" s="157"/>
      <c r="CU41" s="157"/>
      <c r="CV41" s="157"/>
      <c r="CW41" s="157"/>
      <c r="CX41" s="157"/>
      <c r="CY41" s="157"/>
      <c r="CZ41" s="157"/>
      <c r="DA41" s="157"/>
      <c r="DB41" s="157"/>
      <c r="DC41" s="157"/>
      <c r="DD41" s="157"/>
      <c r="DE41" s="157"/>
      <c r="DF41" s="157"/>
      <c r="DG41" s="157"/>
      <c r="DH41" s="157"/>
      <c r="DI41" s="157"/>
      <c r="DJ41" s="157"/>
      <c r="DK41" s="157"/>
      <c r="DL41" s="157"/>
      <c r="DM41" s="157"/>
      <c r="DN41" s="157"/>
      <c r="DO41" s="157"/>
      <c r="DP41" s="157"/>
      <c r="DQ41" s="157"/>
      <c r="DR41" s="157"/>
      <c r="DS41" s="157"/>
      <c r="DT41" s="157"/>
      <c r="DU41" s="157"/>
      <c r="DV41" s="157"/>
      <c r="DW41" s="157"/>
      <c r="DX41" s="157"/>
      <c r="DY41" s="157"/>
      <c r="DZ41" s="157"/>
      <c r="EA41" s="157"/>
      <c r="EB41" s="157"/>
    </row>
    <row r="42" spans="1:132" s="61" customFormat="1" x14ac:dyDescent="0.3">
      <c r="A42" s="57"/>
      <c r="C42" s="155" t="s">
        <v>150</v>
      </c>
      <c r="D42" s="156">
        <v>1</v>
      </c>
      <c r="E42" s="156">
        <f>D42+1</f>
        <v>2</v>
      </c>
      <c r="F42" s="156">
        <f t="shared" ref="F42" si="5">E42+1</f>
        <v>3</v>
      </c>
      <c r="G42" s="156">
        <f t="shared" ref="G42" si="6">F42+1</f>
        <v>4</v>
      </c>
      <c r="H42" s="156">
        <f t="shared" ref="H42" si="7">G42+1</f>
        <v>5</v>
      </c>
      <c r="I42" s="156">
        <f t="shared" ref="I42" si="8">H42+1</f>
        <v>6</v>
      </c>
      <c r="J42" s="156">
        <f t="shared" ref="J42" si="9">I42+1</f>
        <v>7</v>
      </c>
      <c r="K42" s="156">
        <f t="shared" ref="K42" si="10">J42+1</f>
        <v>8</v>
      </c>
      <c r="L42" s="156">
        <f t="shared" ref="L42" si="11">K42+1</f>
        <v>9</v>
      </c>
      <c r="M42" s="156">
        <f t="shared" ref="M42" si="12">L42+1</f>
        <v>10</v>
      </c>
      <c r="N42" s="156">
        <f t="shared" ref="N42" si="13">M42+1</f>
        <v>11</v>
      </c>
      <c r="O42" s="156">
        <f t="shared" ref="O42" si="14">N42+1</f>
        <v>12</v>
      </c>
      <c r="P42" s="156">
        <f t="shared" ref="P42" si="15">O42+1</f>
        <v>13</v>
      </c>
      <c r="Q42" s="156">
        <f t="shared" ref="Q42" si="16">P42+1</f>
        <v>14</v>
      </c>
      <c r="R42" s="156">
        <f t="shared" ref="R42" si="17">Q42+1</f>
        <v>15</v>
      </c>
      <c r="S42" s="156">
        <f t="shared" ref="S42" si="18">R42+1</f>
        <v>16</v>
      </c>
      <c r="T42" s="156">
        <f t="shared" ref="T42" si="19">S42+1</f>
        <v>17</v>
      </c>
      <c r="U42" s="156">
        <f t="shared" ref="U42" si="20">T42+1</f>
        <v>18</v>
      </c>
      <c r="V42" s="156">
        <f t="shared" ref="V42" si="21">U42+1</f>
        <v>19</v>
      </c>
      <c r="W42" s="156">
        <f t="shared" ref="W42" si="22">V42+1</f>
        <v>20</v>
      </c>
      <c r="X42" s="156">
        <f t="shared" ref="X42" si="23">W42+1</f>
        <v>21</v>
      </c>
      <c r="Y42" s="156">
        <f t="shared" ref="Y42" si="24">X42+1</f>
        <v>22</v>
      </c>
      <c r="Z42" s="156">
        <f t="shared" ref="Z42" si="25">Y42+1</f>
        <v>23</v>
      </c>
      <c r="AA42" s="156">
        <f t="shared" ref="AA42" si="26">Z42+1</f>
        <v>24</v>
      </c>
      <c r="AB42" s="156">
        <f t="shared" ref="AB42" si="27">AA42+1</f>
        <v>25</v>
      </c>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row>
    <row r="43" spans="1:132" x14ac:dyDescent="0.3">
      <c r="A43" s="277" t="s">
        <v>397</v>
      </c>
      <c r="B43" s="277"/>
      <c r="C43" s="231"/>
      <c r="D43" s="1"/>
      <c r="E43" s="1"/>
      <c r="F43" s="1"/>
      <c r="G43" s="1"/>
      <c r="H43" s="1"/>
      <c r="I43" s="1"/>
      <c r="J43" s="1"/>
      <c r="K43" s="1"/>
      <c r="L43" s="1"/>
      <c r="M43" s="1"/>
      <c r="N43" s="1"/>
      <c r="O43" s="1"/>
      <c r="P43" s="1"/>
      <c r="Q43" s="1"/>
      <c r="R43" s="1"/>
      <c r="S43" s="1"/>
      <c r="T43" s="1"/>
      <c r="U43" s="1"/>
      <c r="V43" s="1"/>
      <c r="W43" s="1"/>
      <c r="X43" s="1"/>
      <c r="Y43" s="1"/>
      <c r="Z43" s="1"/>
      <c r="AA43" s="1"/>
      <c r="AB43" s="1"/>
    </row>
    <row r="44" spans="1:132" s="61" customFormat="1" ht="13.8" x14ac:dyDescent="0.3">
      <c r="A44" s="280" t="s">
        <v>187</v>
      </c>
      <c r="B44" s="304"/>
      <c r="C44" s="12"/>
      <c r="D44" s="11"/>
      <c r="E44" s="11" t="e">
        <f>IF(D3&lt;=Inputs!$C$16,IF(D37-D38&gt;0,D37-D38,0),0)</f>
        <v>#DIV/0!</v>
      </c>
      <c r="F44" s="11" t="e">
        <f>IF(E3&lt;=Inputs!$C$16,IF(E37-E38&gt;0,E37-E38,0),0)</f>
        <v>#DIV/0!</v>
      </c>
      <c r="G44" s="11" t="e">
        <f>IF(F3&lt;=Inputs!$C$16,IF(F37-F38&gt;0,F37-F38,0),0)</f>
        <v>#DIV/0!</v>
      </c>
      <c r="H44" s="11" t="e">
        <f>IF(G3&lt;=Inputs!$C$16,IF(G37-G38&gt;0,G37-G38,0),0)</f>
        <v>#DIV/0!</v>
      </c>
      <c r="I44" s="11" t="e">
        <f>IF(H3&lt;=Inputs!$C$16,IF(H37-H38&gt;0,H37-H38,0),0)</f>
        <v>#DIV/0!</v>
      </c>
      <c r="J44" s="11" t="e">
        <f>IF(I3&lt;=Inputs!$C$16,IF(I37-I38&gt;0,I37-I38,0),0)</f>
        <v>#DIV/0!</v>
      </c>
      <c r="K44" s="11" t="e">
        <f>IF(J3&lt;=Inputs!$C$16,IF(J37-J38&gt;0,J37-J38,0),0)</f>
        <v>#DIV/0!</v>
      </c>
      <c r="L44" s="11" t="e">
        <f>IF(K3&lt;=Inputs!$C$16,IF(K37-K38&gt;0,K37-K38,0),0)</f>
        <v>#DIV/0!</v>
      </c>
      <c r="M44" s="11" t="e">
        <f>IF(L3&lt;=Inputs!$C$16,IF(L37-L38&gt;0,L37-L38,0),0)</f>
        <v>#DIV/0!</v>
      </c>
      <c r="N44" s="11" t="e">
        <f>IF(M3&lt;=Inputs!$C$16,IF(M37-M38&gt;0,M37-M38,0),0)</f>
        <v>#DIV/0!</v>
      </c>
      <c r="O44" s="11" t="e">
        <f>IF(N3&lt;=Inputs!$C$16,IF(N37-N38&gt;0,N37-N38,0),0)</f>
        <v>#DIV/0!</v>
      </c>
      <c r="P44" s="11" t="e">
        <f>IF(O3&lt;=Inputs!$C$16,IF(O37-O38&gt;0,O37-O38,0),0)</f>
        <v>#DIV/0!</v>
      </c>
      <c r="Q44" s="11" t="e">
        <f>IF(P3&lt;=Inputs!$C$16,IF(P37-P38&gt;0,P37-P38,0),0)</f>
        <v>#DIV/0!</v>
      </c>
      <c r="R44" s="11" t="e">
        <f>IF(Q3&lt;=Inputs!$C$16,IF(Q37-Q38&gt;0,Q37-Q38,0),0)</f>
        <v>#DIV/0!</v>
      </c>
      <c r="S44" s="11" t="e">
        <f>IF(R3&lt;=Inputs!$C$16,IF(R37-R38&gt;0,R37-R38,0),0)</f>
        <v>#DIV/0!</v>
      </c>
      <c r="T44" s="11" t="e">
        <f>IF(S3&lt;=Inputs!$C$16,IF(S37-S38&gt;0,S37-S38,0),0)</f>
        <v>#DIV/0!</v>
      </c>
      <c r="U44" s="11" t="e">
        <f>IF(T3&lt;=Inputs!$C$16,IF(T37-T38&gt;0,T37-T38,0),0)</f>
        <v>#DIV/0!</v>
      </c>
      <c r="V44" s="11" t="e">
        <f>IF(U3&lt;=Inputs!$C$16,IF(U37-U38&gt;0,U37-U38,0),0)</f>
        <v>#DIV/0!</v>
      </c>
      <c r="W44" s="11" t="e">
        <f>IF(V3&lt;=Inputs!$C$16,IF(V37-V38&gt;0,V37-V38,0),0)</f>
        <v>#DIV/0!</v>
      </c>
      <c r="X44" s="11" t="e">
        <f>IF(W3&lt;=Inputs!$C$16,IF(W37-W38&gt;0,W37-W38,0),0)</f>
        <v>#DIV/0!</v>
      </c>
      <c r="Y44" s="11" t="e">
        <f>IF(X3&lt;=Inputs!$C$16,IF(X37-X38&gt;0,X37-X38,0),0)</f>
        <v>#DIV/0!</v>
      </c>
      <c r="Z44" s="11" t="e">
        <f>IF(Y3&lt;=Inputs!$C$16,IF(Y37-Y38&gt;0,Y37-Y38,0),0)</f>
        <v>#DIV/0!</v>
      </c>
      <c r="AA44" s="11" t="e">
        <f>IF(Z3&lt;=Inputs!$C$16,IF(Z37-Z38&gt;0,Z37-Z38,0),0)</f>
        <v>#DIV/0!</v>
      </c>
      <c r="AB44" s="11" t="e">
        <f>IF(AA3&lt;=Inputs!$C$16,IF(AA37-AA38&gt;0,AA37-AA38,0),0)</f>
        <v>#DIV/0!</v>
      </c>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row>
    <row r="45" spans="1:132" s="61" customFormat="1" ht="13.8" x14ac:dyDescent="0.3">
      <c r="A45" s="284" t="s">
        <v>188</v>
      </c>
      <c r="B45" s="304"/>
      <c r="C45" s="12"/>
      <c r="D45" s="11"/>
      <c r="E45" s="11" t="e">
        <f>IF(D3&lt;=Inputs!$C$16,IF(D37-D38&lt;0,D37-D38,0),0)</f>
        <v>#DIV/0!</v>
      </c>
      <c r="F45" s="11" t="e">
        <f>IF(E3&lt;=Inputs!$C$16,IF(E37-E38&lt;0,E37-E38,0),0)</f>
        <v>#DIV/0!</v>
      </c>
      <c r="G45" s="11" t="e">
        <f>IF(F3&lt;=Inputs!$C$16,IF(F37-F38&lt;0,F37-F38,0),0)</f>
        <v>#DIV/0!</v>
      </c>
      <c r="H45" s="11" t="e">
        <f>IF(G3&lt;=Inputs!$C$16,IF(G37-G38&lt;0,G37-G38,0),0)</f>
        <v>#DIV/0!</v>
      </c>
      <c r="I45" s="11" t="e">
        <f>IF(H3&lt;=Inputs!$C$16,IF(H37-H38&lt;0,H37-H38,0),0)</f>
        <v>#DIV/0!</v>
      </c>
      <c r="J45" s="11" t="e">
        <f>IF(I3&lt;=Inputs!$C$16,IF(I37-I38&lt;0,I37-I38,0),0)</f>
        <v>#DIV/0!</v>
      </c>
      <c r="K45" s="11" t="e">
        <f>IF(J3&lt;=Inputs!$C$16,IF(J37-J38&lt;0,J37-J38,0),0)</f>
        <v>#DIV/0!</v>
      </c>
      <c r="L45" s="11" t="e">
        <f>IF(K3&lt;=Inputs!$C$16,IF(K37-K38&lt;0,K37-K38,0),0)</f>
        <v>#DIV/0!</v>
      </c>
      <c r="M45" s="11" t="e">
        <f>IF(L3&lt;=Inputs!$C$16,IF(L37-L38&lt;0,L37-L38,0),0)</f>
        <v>#DIV/0!</v>
      </c>
      <c r="N45" s="11" t="e">
        <f>IF(M3&lt;=Inputs!$C$16,IF(M37-M38&lt;0,M37-M38,0),0)</f>
        <v>#DIV/0!</v>
      </c>
      <c r="O45" s="11" t="e">
        <f>IF(N3&lt;=Inputs!$C$16,IF(N37-N38&lt;0,N37-N38,0),0)</f>
        <v>#DIV/0!</v>
      </c>
      <c r="P45" s="11" t="e">
        <f>IF(O3&lt;=Inputs!$C$16,IF(O37-O38&lt;0,O37-O38,0),0)</f>
        <v>#DIV/0!</v>
      </c>
      <c r="Q45" s="11" t="e">
        <f>IF(P3&lt;=Inputs!$C$16,IF(P37-P38&lt;0,P37-P38,0),0)</f>
        <v>#DIV/0!</v>
      </c>
      <c r="R45" s="11" t="e">
        <f>IF(Q3&lt;=Inputs!$C$16,IF(Q37-Q38&lt;0,Q37-Q38,0),0)</f>
        <v>#DIV/0!</v>
      </c>
      <c r="S45" s="11" t="e">
        <f>IF(R3&lt;=Inputs!$C$16,IF(R37-R38&lt;0,R37-R38,0),0)</f>
        <v>#DIV/0!</v>
      </c>
      <c r="T45" s="11" t="e">
        <f>IF(S3&lt;=Inputs!$C$16,IF(S37-S38&lt;0,S37-S38,0),0)</f>
        <v>#DIV/0!</v>
      </c>
      <c r="U45" s="11" t="e">
        <f>IF(T3&lt;=Inputs!$C$16,IF(T37-T38&lt;0,T37-T38,0),0)</f>
        <v>#DIV/0!</v>
      </c>
      <c r="V45" s="11" t="e">
        <f>IF(U3&lt;=Inputs!$C$16,IF(U37-U38&lt;0,U37-U38,0),0)</f>
        <v>#DIV/0!</v>
      </c>
      <c r="W45" s="11" t="e">
        <f>IF(V3&lt;=Inputs!$C$16,IF(V37-V38&lt;0,V37-V38,0),0)</f>
        <v>#DIV/0!</v>
      </c>
      <c r="X45" s="11" t="e">
        <f>IF(W3&lt;=Inputs!$C$16,IF(W37-W38&lt;0,W37-W38,0),0)</f>
        <v>#DIV/0!</v>
      </c>
      <c r="Y45" s="11" t="e">
        <f>IF(X3&lt;=Inputs!$C$16,IF(X37-X38&lt;0,X37-X38,0),0)</f>
        <v>#DIV/0!</v>
      </c>
      <c r="Z45" s="11" t="e">
        <f>IF(Y3&lt;=Inputs!$C$16,IF(Y37-Y38&lt;0,Y37-Y38,0),0)</f>
        <v>#DIV/0!</v>
      </c>
      <c r="AA45" s="11" t="e">
        <f>IF(Z3&lt;=Inputs!$C$16,IF(Z37-Z38&lt;0,Z37-Z38,0),0)</f>
        <v>#DIV/0!</v>
      </c>
      <c r="AB45" s="11" t="e">
        <f>IF(AA3&lt;=Inputs!$C$16,IF(AA37-AA38&lt;0,AA37-AA38,0),0)</f>
        <v>#DIV/0!</v>
      </c>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row>
    <row r="46" spans="1:132" s="61" customFormat="1" ht="13.8" x14ac:dyDescent="0.3">
      <c r="A46" s="322" t="s">
        <v>199</v>
      </c>
      <c r="B46" s="279"/>
      <c r="C46" s="249"/>
      <c r="D46" s="250">
        <f>IF(D3&lt;=Inputs!$C$16,D44+D45,"")</f>
        <v>0</v>
      </c>
      <c r="E46" s="250" t="e">
        <f>IF(E3&lt;=Inputs!$C$16,D46+E44+E45,"")</f>
        <v>#DIV/0!</v>
      </c>
      <c r="F46" s="250" t="e">
        <f>IF(F3&lt;=Inputs!$C$16,E46+F44+F45,"")</f>
        <v>#DIV/0!</v>
      </c>
      <c r="G46" s="250" t="e">
        <f>IF(G3&lt;=Inputs!$C$16,F46+G44+G45,"")</f>
        <v>#DIV/0!</v>
      </c>
      <c r="H46" s="250" t="e">
        <f>IF(H3&lt;=Inputs!$C$16,G46+H44+H45,"")</f>
        <v>#DIV/0!</v>
      </c>
      <c r="I46" s="250" t="e">
        <f>IF(I3&lt;=Inputs!$C$16,H46+I44+I45,"")</f>
        <v>#DIV/0!</v>
      </c>
      <c r="J46" s="250" t="e">
        <f>IF(J3&lt;=Inputs!$C$16,I46+J44+J45,"")</f>
        <v>#DIV/0!</v>
      </c>
      <c r="K46" s="250" t="e">
        <f>IF(K3&lt;=Inputs!$C$16,J46+K44+K45,"")</f>
        <v>#DIV/0!</v>
      </c>
      <c r="L46" s="250" t="e">
        <f>IF(L3&lt;=Inputs!$C$16,K46+L44+L45,"")</f>
        <v>#DIV/0!</v>
      </c>
      <c r="M46" s="250" t="e">
        <f>IF(M3&lt;=Inputs!$C$16,L46+M44+M45,"")</f>
        <v>#DIV/0!</v>
      </c>
      <c r="N46" s="250" t="e">
        <f>IF(N3&lt;=Inputs!$C$16,M46+N44+N45,"")</f>
        <v>#DIV/0!</v>
      </c>
      <c r="O46" s="250" t="e">
        <f>IF(O3&lt;=Inputs!$C$16,N46+O44+O45,"")</f>
        <v>#DIV/0!</v>
      </c>
      <c r="P46" s="250" t="e">
        <f>IF(P3&lt;=Inputs!$C$16,O46+P44+P45,"")</f>
        <v>#DIV/0!</v>
      </c>
      <c r="Q46" s="250" t="e">
        <f>IF(Q3&lt;=Inputs!$C$16,P46+Q44+Q45,"")</f>
        <v>#DIV/0!</v>
      </c>
      <c r="R46" s="250" t="e">
        <f>IF(R3&lt;=Inputs!$C$16,Q46+R44+R45,"")</f>
        <v>#DIV/0!</v>
      </c>
      <c r="S46" s="250" t="e">
        <f>IF(S3&lt;=Inputs!$C$16,R46+S44+S45,"")</f>
        <v>#DIV/0!</v>
      </c>
      <c r="T46" s="250" t="e">
        <f>IF(T3&lt;=Inputs!$C$16,S46+T44+T45,"")</f>
        <v>#DIV/0!</v>
      </c>
      <c r="U46" s="250" t="e">
        <f>IF(U3&lt;=Inputs!$C$16,T46+U44+U45,"")</f>
        <v>#DIV/0!</v>
      </c>
      <c r="V46" s="250" t="e">
        <f>IF(V3&lt;=Inputs!$C$16,U46+V44+V45,"")</f>
        <v>#DIV/0!</v>
      </c>
      <c r="W46" s="250" t="e">
        <f>IF(W3&lt;=Inputs!$C$16,V46+W44+W45,"")</f>
        <v>#DIV/0!</v>
      </c>
      <c r="X46" s="250" t="e">
        <f>IF(X3&lt;=Inputs!$C$16,W46+X44+X45,"")</f>
        <v>#DIV/0!</v>
      </c>
      <c r="Y46" s="250" t="e">
        <f>IF(Y3&lt;=Inputs!$C$16,X46+Y44+Y45,"")</f>
        <v>#DIV/0!</v>
      </c>
      <c r="Z46" s="250" t="e">
        <f>IF(Z3&lt;=Inputs!$C$16,Y46+Z44+Z45,"")</f>
        <v>#DIV/0!</v>
      </c>
      <c r="AA46" s="250" t="e">
        <f>IF(AA3&lt;=Inputs!$C$16,Z46+AA44+AA45,"")</f>
        <v>#DIV/0!</v>
      </c>
      <c r="AB46" s="250" t="e">
        <f>IF(AB3&lt;=Inputs!$C$16,AA46+AB44+AB45,"")</f>
        <v>#DIV/0!</v>
      </c>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row>
    <row r="48" spans="1:132" s="61" customFormat="1" x14ac:dyDescent="0.3">
      <c r="A48" s="57"/>
      <c r="C48" s="155" t="s">
        <v>150</v>
      </c>
      <c r="D48" s="156">
        <v>1</v>
      </c>
      <c r="E48" s="156">
        <f>D48+1</f>
        <v>2</v>
      </c>
      <c r="F48" s="156">
        <f t="shared" ref="F48" si="28">E48+1</f>
        <v>3</v>
      </c>
      <c r="G48" s="156">
        <f t="shared" ref="G48" si="29">F48+1</f>
        <v>4</v>
      </c>
      <c r="H48" s="156">
        <f t="shared" ref="H48" si="30">G48+1</f>
        <v>5</v>
      </c>
      <c r="I48" s="156">
        <f t="shared" ref="I48" si="31">H48+1</f>
        <v>6</v>
      </c>
      <c r="J48" s="156">
        <f t="shared" ref="J48" si="32">I48+1</f>
        <v>7</v>
      </c>
      <c r="K48" s="156">
        <f t="shared" ref="K48" si="33">J48+1</f>
        <v>8</v>
      </c>
      <c r="L48" s="156">
        <f t="shared" ref="L48" si="34">K48+1</f>
        <v>9</v>
      </c>
      <c r="M48" s="156">
        <f t="shared" ref="M48" si="35">L48+1</f>
        <v>10</v>
      </c>
      <c r="N48" s="156">
        <f t="shared" ref="N48" si="36">M48+1</f>
        <v>11</v>
      </c>
      <c r="O48" s="156">
        <f t="shared" ref="O48" si="37">N48+1</f>
        <v>12</v>
      </c>
      <c r="P48" s="156">
        <f t="shared" ref="P48" si="38">O48+1</f>
        <v>13</v>
      </c>
      <c r="Q48" s="156">
        <f t="shared" ref="Q48" si="39">P48+1</f>
        <v>14</v>
      </c>
      <c r="R48" s="156">
        <f t="shared" ref="R48" si="40">Q48+1</f>
        <v>15</v>
      </c>
      <c r="S48" s="156">
        <f t="shared" ref="S48" si="41">R48+1</f>
        <v>16</v>
      </c>
      <c r="T48" s="156">
        <f t="shared" ref="T48" si="42">S48+1</f>
        <v>17</v>
      </c>
      <c r="U48" s="156">
        <f t="shared" ref="U48" si="43">T48+1</f>
        <v>18</v>
      </c>
      <c r="V48" s="156">
        <f t="shared" ref="V48" si="44">U48+1</f>
        <v>19</v>
      </c>
      <c r="W48" s="156">
        <f t="shared" ref="W48" si="45">V48+1</f>
        <v>20</v>
      </c>
      <c r="X48" s="156">
        <f t="shared" ref="X48" si="46">W48+1</f>
        <v>21</v>
      </c>
      <c r="Y48" s="156">
        <f t="shared" ref="Y48" si="47">X48+1</f>
        <v>22</v>
      </c>
      <c r="Z48" s="156">
        <f t="shared" ref="Z48" si="48">Y48+1</f>
        <v>23</v>
      </c>
      <c r="AA48" s="156">
        <f t="shared" ref="AA48" si="49">Z48+1</f>
        <v>24</v>
      </c>
      <c r="AB48" s="156">
        <f t="shared" ref="AB48" si="50">AA48+1</f>
        <v>25</v>
      </c>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row>
    <row r="49" spans="1:171" x14ac:dyDescent="0.3">
      <c r="A49" s="277" t="s">
        <v>398</v>
      </c>
      <c r="B49" s="2" t="s">
        <v>527</v>
      </c>
    </row>
    <row r="50" spans="1:171" s="61" customFormat="1" ht="13.8" x14ac:dyDescent="0.3">
      <c r="A50" s="323" t="s">
        <v>272</v>
      </c>
      <c r="B50" s="324"/>
      <c r="C50" s="233"/>
      <c r="D50" s="233">
        <f>D27+D29</f>
        <v>0</v>
      </c>
      <c r="E50" s="233">
        <f t="shared" ref="E50:AB50" si="51">E27+E29</f>
        <v>0</v>
      </c>
      <c r="F50" s="233">
        <f t="shared" si="51"/>
        <v>0</v>
      </c>
      <c r="G50" s="233">
        <f t="shared" si="51"/>
        <v>0</v>
      </c>
      <c r="H50" s="233">
        <f t="shared" si="51"/>
        <v>0</v>
      </c>
      <c r="I50" s="233">
        <f t="shared" si="51"/>
        <v>0</v>
      </c>
      <c r="J50" s="233">
        <f t="shared" si="51"/>
        <v>0</v>
      </c>
      <c r="K50" s="233">
        <f t="shared" si="51"/>
        <v>0</v>
      </c>
      <c r="L50" s="233">
        <f t="shared" si="51"/>
        <v>0</v>
      </c>
      <c r="M50" s="233">
        <f t="shared" si="51"/>
        <v>0</v>
      </c>
      <c r="N50" s="233">
        <f>N27+N29</f>
        <v>0</v>
      </c>
      <c r="O50" s="233">
        <f t="shared" si="51"/>
        <v>0</v>
      </c>
      <c r="P50" s="233">
        <f t="shared" si="51"/>
        <v>0</v>
      </c>
      <c r="Q50" s="233">
        <f t="shared" si="51"/>
        <v>0</v>
      </c>
      <c r="R50" s="233">
        <f t="shared" si="51"/>
        <v>0</v>
      </c>
      <c r="S50" s="233">
        <f t="shared" si="51"/>
        <v>0</v>
      </c>
      <c r="T50" s="233">
        <f t="shared" si="51"/>
        <v>0</v>
      </c>
      <c r="U50" s="233">
        <f t="shared" si="51"/>
        <v>0</v>
      </c>
      <c r="V50" s="233">
        <f>V27+V29</f>
        <v>0</v>
      </c>
      <c r="W50" s="233">
        <f t="shared" si="51"/>
        <v>0</v>
      </c>
      <c r="X50" s="233">
        <f t="shared" si="51"/>
        <v>0</v>
      </c>
      <c r="Y50" s="233">
        <f t="shared" si="51"/>
        <v>0</v>
      </c>
      <c r="Z50" s="233">
        <f t="shared" si="51"/>
        <v>0</v>
      </c>
      <c r="AA50" s="233">
        <f t="shared" si="51"/>
        <v>0</v>
      </c>
      <c r="AB50" s="233">
        <f t="shared" si="51"/>
        <v>0</v>
      </c>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row>
    <row r="51" spans="1:171" s="61" customFormat="1" ht="13.8" x14ac:dyDescent="0.3">
      <c r="A51" s="323" t="s">
        <v>271</v>
      </c>
      <c r="B51" s="325"/>
      <c r="C51" s="11"/>
      <c r="D51" s="11">
        <f>D46</f>
        <v>0</v>
      </c>
      <c r="E51" s="11" t="e">
        <f t="shared" ref="E51:AB51" si="52">E46</f>
        <v>#DIV/0!</v>
      </c>
      <c r="F51" s="11" t="e">
        <f t="shared" si="52"/>
        <v>#DIV/0!</v>
      </c>
      <c r="G51" s="11" t="e">
        <f t="shared" si="52"/>
        <v>#DIV/0!</v>
      </c>
      <c r="H51" s="11" t="e">
        <f t="shared" si="52"/>
        <v>#DIV/0!</v>
      </c>
      <c r="I51" s="11" t="e">
        <f t="shared" si="52"/>
        <v>#DIV/0!</v>
      </c>
      <c r="J51" s="11" t="e">
        <f t="shared" si="52"/>
        <v>#DIV/0!</v>
      </c>
      <c r="K51" s="11" t="e">
        <f t="shared" si="52"/>
        <v>#DIV/0!</v>
      </c>
      <c r="L51" s="11" t="e">
        <f t="shared" si="52"/>
        <v>#DIV/0!</v>
      </c>
      <c r="M51" s="11" t="e">
        <f t="shared" si="52"/>
        <v>#DIV/0!</v>
      </c>
      <c r="N51" s="11" t="e">
        <f t="shared" si="52"/>
        <v>#DIV/0!</v>
      </c>
      <c r="O51" s="11" t="e">
        <f t="shared" si="52"/>
        <v>#DIV/0!</v>
      </c>
      <c r="P51" s="11" t="e">
        <f t="shared" si="52"/>
        <v>#DIV/0!</v>
      </c>
      <c r="Q51" s="11" t="e">
        <f t="shared" si="52"/>
        <v>#DIV/0!</v>
      </c>
      <c r="R51" s="11" t="e">
        <f t="shared" si="52"/>
        <v>#DIV/0!</v>
      </c>
      <c r="S51" s="11" t="e">
        <f t="shared" si="52"/>
        <v>#DIV/0!</v>
      </c>
      <c r="T51" s="11" t="e">
        <f t="shared" si="52"/>
        <v>#DIV/0!</v>
      </c>
      <c r="U51" s="11" t="e">
        <f t="shared" si="52"/>
        <v>#DIV/0!</v>
      </c>
      <c r="V51" s="11" t="e">
        <f t="shared" si="52"/>
        <v>#DIV/0!</v>
      </c>
      <c r="W51" s="11" t="e">
        <f t="shared" si="52"/>
        <v>#DIV/0!</v>
      </c>
      <c r="X51" s="11" t="e">
        <f t="shared" si="52"/>
        <v>#DIV/0!</v>
      </c>
      <c r="Y51" s="11" t="e">
        <f t="shared" si="52"/>
        <v>#DIV/0!</v>
      </c>
      <c r="Z51" s="11" t="e">
        <f t="shared" si="52"/>
        <v>#DIV/0!</v>
      </c>
      <c r="AA51" s="11" t="e">
        <f t="shared" si="52"/>
        <v>#DIV/0!</v>
      </c>
      <c r="AB51" s="11" t="e">
        <f t="shared" si="52"/>
        <v>#DIV/0!</v>
      </c>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row>
    <row r="52" spans="1:171" s="61" customFormat="1" ht="13.8" x14ac:dyDescent="0.3">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row>
    <row r="53" spans="1:171" s="176" customFormat="1" x14ac:dyDescent="0.3">
      <c r="A53" s="326" t="s">
        <v>270</v>
      </c>
      <c r="B53" s="327" t="str">
        <f>Inputs!C20</f>
        <v>NGN</v>
      </c>
      <c r="C53" s="150"/>
      <c r="D53" s="150">
        <f t="shared" ref="D53:AB53" si="53">SUM(D50:D52)</f>
        <v>0</v>
      </c>
      <c r="E53" s="150" t="e">
        <f t="shared" si="53"/>
        <v>#DIV/0!</v>
      </c>
      <c r="F53" s="150" t="e">
        <f t="shared" si="53"/>
        <v>#DIV/0!</v>
      </c>
      <c r="G53" s="150" t="e">
        <f t="shared" si="53"/>
        <v>#DIV/0!</v>
      </c>
      <c r="H53" s="150" t="e">
        <f t="shared" si="53"/>
        <v>#DIV/0!</v>
      </c>
      <c r="I53" s="150" t="e">
        <f t="shared" si="53"/>
        <v>#DIV/0!</v>
      </c>
      <c r="J53" s="150" t="e">
        <f t="shared" si="53"/>
        <v>#DIV/0!</v>
      </c>
      <c r="K53" s="150" t="e">
        <f t="shared" si="53"/>
        <v>#DIV/0!</v>
      </c>
      <c r="L53" s="150" t="e">
        <f t="shared" si="53"/>
        <v>#DIV/0!</v>
      </c>
      <c r="M53" s="150" t="e">
        <f t="shared" si="53"/>
        <v>#DIV/0!</v>
      </c>
      <c r="N53" s="150" t="e">
        <f t="shared" si="53"/>
        <v>#DIV/0!</v>
      </c>
      <c r="O53" s="150" t="e">
        <f t="shared" si="53"/>
        <v>#DIV/0!</v>
      </c>
      <c r="P53" s="150" t="e">
        <f t="shared" si="53"/>
        <v>#DIV/0!</v>
      </c>
      <c r="Q53" s="150" t="e">
        <f t="shared" si="53"/>
        <v>#DIV/0!</v>
      </c>
      <c r="R53" s="150" t="e">
        <f t="shared" si="53"/>
        <v>#DIV/0!</v>
      </c>
      <c r="S53" s="150" t="e">
        <f t="shared" si="53"/>
        <v>#DIV/0!</v>
      </c>
      <c r="T53" s="150" t="e">
        <f t="shared" si="53"/>
        <v>#DIV/0!</v>
      </c>
      <c r="U53" s="150" t="e">
        <f t="shared" si="53"/>
        <v>#DIV/0!</v>
      </c>
      <c r="V53" s="150" t="e">
        <f t="shared" si="53"/>
        <v>#DIV/0!</v>
      </c>
      <c r="W53" s="150" t="e">
        <f t="shared" si="53"/>
        <v>#DIV/0!</v>
      </c>
      <c r="X53" s="150" t="e">
        <f t="shared" si="53"/>
        <v>#DIV/0!</v>
      </c>
      <c r="Y53" s="150" t="e">
        <f t="shared" si="53"/>
        <v>#DIV/0!</v>
      </c>
      <c r="Z53" s="150" t="e">
        <f t="shared" si="53"/>
        <v>#DIV/0!</v>
      </c>
      <c r="AA53" s="150" t="e">
        <f t="shared" si="53"/>
        <v>#DIV/0!</v>
      </c>
      <c r="AB53" s="150" t="e">
        <f t="shared" si="53"/>
        <v>#DIV/0!</v>
      </c>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317"/>
      <c r="CC53" s="317"/>
      <c r="CD53" s="317"/>
      <c r="CE53" s="317"/>
      <c r="CF53" s="317"/>
      <c r="CG53" s="317"/>
      <c r="CH53" s="317"/>
      <c r="CI53" s="317"/>
      <c r="CJ53" s="317"/>
      <c r="CK53" s="317"/>
      <c r="CL53" s="317"/>
      <c r="CM53" s="317"/>
      <c r="CN53" s="317"/>
      <c r="CO53" s="317"/>
      <c r="CP53" s="317"/>
      <c r="CQ53" s="317"/>
      <c r="CR53" s="317"/>
      <c r="CS53" s="317"/>
      <c r="CT53" s="317"/>
      <c r="CU53" s="317"/>
      <c r="CV53" s="317"/>
      <c r="CW53" s="317"/>
      <c r="CX53" s="317"/>
      <c r="CY53" s="317"/>
      <c r="CZ53" s="317"/>
      <c r="DA53" s="317"/>
      <c r="DB53" s="317"/>
      <c r="DC53" s="317"/>
      <c r="DD53" s="317"/>
      <c r="DE53" s="317"/>
      <c r="DF53" s="317"/>
      <c r="DG53" s="317"/>
      <c r="DH53" s="317"/>
      <c r="DI53" s="317"/>
      <c r="DJ53" s="317"/>
      <c r="DK53" s="317"/>
      <c r="DL53" s="317"/>
      <c r="DM53" s="317"/>
      <c r="DN53" s="317"/>
      <c r="DO53" s="317"/>
      <c r="DP53" s="317"/>
      <c r="DQ53" s="317"/>
      <c r="DR53" s="317"/>
      <c r="DS53" s="317"/>
      <c r="DT53" s="317"/>
      <c r="DU53" s="317"/>
      <c r="DV53" s="317"/>
      <c r="DW53" s="317"/>
      <c r="DX53" s="317"/>
      <c r="DY53" s="317"/>
      <c r="DZ53" s="317"/>
      <c r="EA53" s="317"/>
      <c r="EB53" s="317"/>
      <c r="EC53" s="317"/>
      <c r="ED53" s="317"/>
      <c r="EE53" s="317"/>
      <c r="EF53" s="317"/>
      <c r="EG53" s="317"/>
      <c r="EH53" s="317"/>
      <c r="EI53" s="317"/>
      <c r="EJ53" s="317"/>
      <c r="EK53" s="317"/>
      <c r="EL53" s="317"/>
      <c r="EM53" s="317"/>
      <c r="EN53" s="317"/>
      <c r="EO53" s="317"/>
      <c r="EP53" s="317"/>
      <c r="EQ53" s="317"/>
      <c r="ER53" s="317"/>
      <c r="ES53" s="317"/>
      <c r="ET53" s="317"/>
      <c r="EU53" s="317"/>
      <c r="EV53" s="317"/>
      <c r="EW53" s="317"/>
      <c r="EX53" s="317"/>
      <c r="EY53" s="317"/>
      <c r="EZ53" s="317"/>
      <c r="FA53" s="317"/>
      <c r="FB53" s="317"/>
      <c r="FC53" s="317"/>
      <c r="FD53" s="317"/>
      <c r="FE53" s="317"/>
      <c r="FF53" s="317"/>
      <c r="FG53" s="317"/>
      <c r="FH53" s="317"/>
      <c r="FI53" s="317"/>
      <c r="FJ53" s="317"/>
      <c r="FK53" s="317"/>
      <c r="FL53" s="317"/>
      <c r="FM53" s="317"/>
      <c r="FN53" s="317"/>
      <c r="FO53" s="317"/>
    </row>
    <row r="54" spans="1:171" s="61" customFormat="1" ht="13.8" x14ac:dyDescent="0.3">
      <c r="A54" s="328" t="s">
        <v>273</v>
      </c>
      <c r="B54" s="283"/>
      <c r="C54" s="233"/>
      <c r="D54" s="151" t="e">
        <f>(Inputs!AG126/Inputs!AG126)-D55-D56</f>
        <v>#DIV/0!</v>
      </c>
      <c r="E54" s="151" t="e">
        <f>D54</f>
        <v>#DIV/0!</v>
      </c>
      <c r="F54" s="151" t="e">
        <f t="shared" ref="F54:AB56" si="54">E54</f>
        <v>#DIV/0!</v>
      </c>
      <c r="G54" s="151" t="e">
        <f t="shared" si="54"/>
        <v>#DIV/0!</v>
      </c>
      <c r="H54" s="151" t="e">
        <f t="shared" si="54"/>
        <v>#DIV/0!</v>
      </c>
      <c r="I54" s="151" t="e">
        <f t="shared" si="54"/>
        <v>#DIV/0!</v>
      </c>
      <c r="J54" s="151" t="e">
        <f t="shared" si="54"/>
        <v>#DIV/0!</v>
      </c>
      <c r="K54" s="151" t="e">
        <f t="shared" si="54"/>
        <v>#DIV/0!</v>
      </c>
      <c r="L54" s="151" t="e">
        <f t="shared" si="54"/>
        <v>#DIV/0!</v>
      </c>
      <c r="M54" s="151" t="e">
        <f t="shared" si="54"/>
        <v>#DIV/0!</v>
      </c>
      <c r="N54" s="151" t="e">
        <f t="shared" si="54"/>
        <v>#DIV/0!</v>
      </c>
      <c r="O54" s="151" t="e">
        <f t="shared" si="54"/>
        <v>#DIV/0!</v>
      </c>
      <c r="P54" s="151" t="e">
        <f t="shared" si="54"/>
        <v>#DIV/0!</v>
      </c>
      <c r="Q54" s="151" t="e">
        <f t="shared" si="54"/>
        <v>#DIV/0!</v>
      </c>
      <c r="R54" s="151" t="e">
        <f t="shared" si="54"/>
        <v>#DIV/0!</v>
      </c>
      <c r="S54" s="151" t="e">
        <f t="shared" si="54"/>
        <v>#DIV/0!</v>
      </c>
      <c r="T54" s="151" t="e">
        <f t="shared" si="54"/>
        <v>#DIV/0!</v>
      </c>
      <c r="U54" s="151" t="e">
        <f t="shared" si="54"/>
        <v>#DIV/0!</v>
      </c>
      <c r="V54" s="151" t="e">
        <f t="shared" si="54"/>
        <v>#DIV/0!</v>
      </c>
      <c r="W54" s="151" t="e">
        <f t="shared" si="54"/>
        <v>#DIV/0!</v>
      </c>
      <c r="X54" s="151" t="e">
        <f t="shared" si="54"/>
        <v>#DIV/0!</v>
      </c>
      <c r="Y54" s="151" t="e">
        <f t="shared" si="54"/>
        <v>#DIV/0!</v>
      </c>
      <c r="Z54" s="151" t="e">
        <f t="shared" si="54"/>
        <v>#DIV/0!</v>
      </c>
      <c r="AA54" s="151" t="e">
        <f t="shared" si="54"/>
        <v>#DIV/0!</v>
      </c>
      <c r="AB54" s="151" t="e">
        <f t="shared" si="54"/>
        <v>#DIV/0!</v>
      </c>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row>
    <row r="55" spans="1:171" s="61" customFormat="1" ht="13.8" x14ac:dyDescent="0.3">
      <c r="A55" s="329" t="s">
        <v>274</v>
      </c>
      <c r="C55" s="11"/>
      <c r="D55" s="152" t="e">
        <f>(Inputs!AG38+Inputs!AG39+Inputs!AG57+Inputs!AG58+Inputs!AG75+Inputs!AG76+Inputs!AG93+Inputs!AG94)/Inputs!AG126</f>
        <v>#DIV/0!</v>
      </c>
      <c r="E55" s="152" t="e">
        <f t="shared" ref="E55:T56" si="55">D55</f>
        <v>#DIV/0!</v>
      </c>
      <c r="F55" s="152" t="e">
        <f t="shared" si="55"/>
        <v>#DIV/0!</v>
      </c>
      <c r="G55" s="152" t="e">
        <f t="shared" si="55"/>
        <v>#DIV/0!</v>
      </c>
      <c r="H55" s="152" t="e">
        <f t="shared" si="55"/>
        <v>#DIV/0!</v>
      </c>
      <c r="I55" s="152" t="e">
        <f t="shared" si="55"/>
        <v>#DIV/0!</v>
      </c>
      <c r="J55" s="152" t="e">
        <f t="shared" si="55"/>
        <v>#DIV/0!</v>
      </c>
      <c r="K55" s="152" t="e">
        <f t="shared" si="55"/>
        <v>#DIV/0!</v>
      </c>
      <c r="L55" s="152" t="e">
        <f t="shared" si="55"/>
        <v>#DIV/0!</v>
      </c>
      <c r="M55" s="152" t="e">
        <f t="shared" si="55"/>
        <v>#DIV/0!</v>
      </c>
      <c r="N55" s="152" t="e">
        <f t="shared" si="55"/>
        <v>#DIV/0!</v>
      </c>
      <c r="O55" s="152" t="e">
        <f t="shared" si="55"/>
        <v>#DIV/0!</v>
      </c>
      <c r="P55" s="152" t="e">
        <f t="shared" si="55"/>
        <v>#DIV/0!</v>
      </c>
      <c r="Q55" s="152" t="e">
        <f t="shared" si="55"/>
        <v>#DIV/0!</v>
      </c>
      <c r="R55" s="152" t="e">
        <f t="shared" si="55"/>
        <v>#DIV/0!</v>
      </c>
      <c r="S55" s="152" t="e">
        <f t="shared" si="55"/>
        <v>#DIV/0!</v>
      </c>
      <c r="T55" s="152" t="e">
        <f t="shared" si="55"/>
        <v>#DIV/0!</v>
      </c>
      <c r="U55" s="152" t="e">
        <f t="shared" si="54"/>
        <v>#DIV/0!</v>
      </c>
      <c r="V55" s="152" t="e">
        <f t="shared" si="54"/>
        <v>#DIV/0!</v>
      </c>
      <c r="W55" s="152" t="e">
        <f t="shared" si="54"/>
        <v>#DIV/0!</v>
      </c>
      <c r="X55" s="152" t="e">
        <f t="shared" si="54"/>
        <v>#DIV/0!</v>
      </c>
      <c r="Y55" s="152" t="e">
        <f t="shared" si="54"/>
        <v>#DIV/0!</v>
      </c>
      <c r="Z55" s="152" t="e">
        <f t="shared" si="54"/>
        <v>#DIV/0!</v>
      </c>
      <c r="AA55" s="152" t="e">
        <f t="shared" si="54"/>
        <v>#DIV/0!</v>
      </c>
      <c r="AB55" s="152" t="e">
        <f t="shared" si="54"/>
        <v>#DIV/0!</v>
      </c>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row>
    <row r="56" spans="1:171" s="61" customFormat="1" ht="13.8" x14ac:dyDescent="0.3">
      <c r="A56" s="330" t="s">
        <v>275</v>
      </c>
      <c r="B56" s="290"/>
      <c r="C56" s="236"/>
      <c r="D56" s="153" t="e">
        <f>(Inputs!AG40+Inputs!AG59+Inputs!AG77+Inputs!AG95)/Inputs!AG126</f>
        <v>#DIV/0!</v>
      </c>
      <c r="E56" s="153" t="e">
        <f t="shared" si="55"/>
        <v>#DIV/0!</v>
      </c>
      <c r="F56" s="153" t="e">
        <f t="shared" si="54"/>
        <v>#DIV/0!</v>
      </c>
      <c r="G56" s="153" t="e">
        <f t="shared" si="54"/>
        <v>#DIV/0!</v>
      </c>
      <c r="H56" s="153" t="e">
        <f t="shared" si="54"/>
        <v>#DIV/0!</v>
      </c>
      <c r="I56" s="153" t="e">
        <f t="shared" si="54"/>
        <v>#DIV/0!</v>
      </c>
      <c r="J56" s="153" t="e">
        <f t="shared" si="54"/>
        <v>#DIV/0!</v>
      </c>
      <c r="K56" s="153" t="e">
        <f t="shared" si="54"/>
        <v>#DIV/0!</v>
      </c>
      <c r="L56" s="153" t="e">
        <f t="shared" si="54"/>
        <v>#DIV/0!</v>
      </c>
      <c r="M56" s="153" t="e">
        <f t="shared" si="54"/>
        <v>#DIV/0!</v>
      </c>
      <c r="N56" s="153" t="e">
        <f t="shared" si="54"/>
        <v>#DIV/0!</v>
      </c>
      <c r="O56" s="153" t="e">
        <f t="shared" si="54"/>
        <v>#DIV/0!</v>
      </c>
      <c r="P56" s="153" t="e">
        <f t="shared" si="54"/>
        <v>#DIV/0!</v>
      </c>
      <c r="Q56" s="153" t="e">
        <f t="shared" si="54"/>
        <v>#DIV/0!</v>
      </c>
      <c r="R56" s="153" t="e">
        <f t="shared" si="54"/>
        <v>#DIV/0!</v>
      </c>
      <c r="S56" s="153" t="e">
        <f t="shared" si="54"/>
        <v>#DIV/0!</v>
      </c>
      <c r="T56" s="153" t="e">
        <f t="shared" si="54"/>
        <v>#DIV/0!</v>
      </c>
      <c r="U56" s="153" t="e">
        <f t="shared" si="54"/>
        <v>#DIV/0!</v>
      </c>
      <c r="V56" s="153" t="e">
        <f t="shared" si="54"/>
        <v>#DIV/0!</v>
      </c>
      <c r="W56" s="153" t="e">
        <f t="shared" si="54"/>
        <v>#DIV/0!</v>
      </c>
      <c r="X56" s="153" t="e">
        <f t="shared" si="54"/>
        <v>#DIV/0!</v>
      </c>
      <c r="Y56" s="153" t="e">
        <f t="shared" si="54"/>
        <v>#DIV/0!</v>
      </c>
      <c r="Z56" s="153" t="e">
        <f t="shared" si="54"/>
        <v>#DIV/0!</v>
      </c>
      <c r="AA56" s="153" t="e">
        <f t="shared" si="54"/>
        <v>#DIV/0!</v>
      </c>
      <c r="AB56" s="153" t="e">
        <f t="shared" si="54"/>
        <v>#DIV/0!</v>
      </c>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row>
    <row r="57" spans="1:171" s="61" customFormat="1" ht="13.8" x14ac:dyDescent="0.3">
      <c r="A57" s="60"/>
      <c r="C57" s="60"/>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row>
    <row r="59" spans="1:171" x14ac:dyDescent="0.3">
      <c r="A59" s="277" t="s">
        <v>399</v>
      </c>
    </row>
    <row r="60" spans="1:171" s="61" customFormat="1" x14ac:dyDescent="0.3">
      <c r="A60" s="57"/>
      <c r="C60" s="155" t="s">
        <v>150</v>
      </c>
      <c r="D60" s="156">
        <v>1</v>
      </c>
      <c r="E60" s="156">
        <f>D60+1</f>
        <v>2</v>
      </c>
      <c r="F60" s="156">
        <f t="shared" ref="F60" si="56">E60+1</f>
        <v>3</v>
      </c>
      <c r="G60" s="156">
        <f t="shared" ref="G60" si="57">F60+1</f>
        <v>4</v>
      </c>
      <c r="H60" s="156">
        <f t="shared" ref="H60" si="58">G60+1</f>
        <v>5</v>
      </c>
      <c r="I60" s="156">
        <f t="shared" ref="I60" si="59">H60+1</f>
        <v>6</v>
      </c>
      <c r="J60" s="156">
        <f t="shared" ref="J60" si="60">I60+1</f>
        <v>7</v>
      </c>
      <c r="K60" s="156">
        <f t="shared" ref="K60" si="61">J60+1</f>
        <v>8</v>
      </c>
      <c r="L60" s="156">
        <f t="shared" ref="L60" si="62">K60+1</f>
        <v>9</v>
      </c>
      <c r="M60" s="156">
        <f t="shared" ref="M60" si="63">L60+1</f>
        <v>10</v>
      </c>
      <c r="N60" s="156">
        <f t="shared" ref="N60" si="64">M60+1</f>
        <v>11</v>
      </c>
      <c r="O60" s="156">
        <f t="shared" ref="O60" si="65">N60+1</f>
        <v>12</v>
      </c>
      <c r="P60" s="156">
        <f t="shared" ref="P60" si="66">O60+1</f>
        <v>13</v>
      </c>
      <c r="Q60" s="156">
        <f t="shared" ref="Q60" si="67">P60+1</f>
        <v>14</v>
      </c>
      <c r="R60" s="156">
        <f t="shared" ref="R60" si="68">Q60+1</f>
        <v>15</v>
      </c>
      <c r="S60" s="156">
        <f t="shared" ref="S60" si="69">R60+1</f>
        <v>16</v>
      </c>
      <c r="T60" s="156">
        <f t="shared" ref="T60" si="70">S60+1</f>
        <v>17</v>
      </c>
      <c r="U60" s="156">
        <f t="shared" ref="U60" si="71">T60+1</f>
        <v>18</v>
      </c>
      <c r="V60" s="156">
        <f t="shared" ref="V60" si="72">U60+1</f>
        <v>19</v>
      </c>
      <c r="W60" s="156">
        <f t="shared" ref="W60" si="73">V60+1</f>
        <v>20</v>
      </c>
      <c r="X60" s="156">
        <f t="shared" ref="X60" si="74">W60+1</f>
        <v>21</v>
      </c>
      <c r="Y60" s="156">
        <f t="shared" ref="Y60" si="75">X60+1</f>
        <v>22</v>
      </c>
      <c r="Z60" s="156">
        <f t="shared" ref="Z60" si="76">Y60+1</f>
        <v>23</v>
      </c>
      <c r="AA60" s="156">
        <f t="shared" ref="AA60" si="77">Z60+1</f>
        <v>24</v>
      </c>
      <c r="AB60" s="156">
        <f t="shared" ref="AB60" si="78">AA60+1</f>
        <v>25</v>
      </c>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c r="DS60" s="157"/>
      <c r="DT60" s="157"/>
      <c r="DU60" s="157"/>
      <c r="DV60" s="157"/>
      <c r="DW60" s="157"/>
      <c r="DX60" s="157"/>
      <c r="DY60" s="157"/>
      <c r="DZ60" s="157"/>
      <c r="EA60" s="157"/>
      <c r="EB60" s="157"/>
    </row>
    <row r="61" spans="1:171" s="61" customFormat="1" ht="13.8" x14ac:dyDescent="0.3">
      <c r="A61" s="331" t="s">
        <v>355</v>
      </c>
      <c r="B61" s="60"/>
      <c r="C61" s="60"/>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row>
    <row r="62" spans="1:171" s="61" customFormat="1" ht="13.8" x14ac:dyDescent="0.3">
      <c r="A62" s="280" t="s">
        <v>161</v>
      </c>
      <c r="B62" s="281"/>
      <c r="C62" s="282"/>
      <c r="D62" s="233">
        <f>IF(D3&lt;=Inputs!$C$16,D22+D23+D24+D25+D26+D30,"")</f>
        <v>0</v>
      </c>
      <c r="E62" s="233">
        <f>IF(E3&lt;=Inputs!$C$16,E22+E23+E24+E25+E26+(E30-D30),"")</f>
        <v>0</v>
      </c>
      <c r="F62" s="233">
        <f>IF(F3&lt;=Inputs!$C$16,F22+F23+F24+F25+F26+(F30-E30),"")</f>
        <v>0</v>
      </c>
      <c r="G62" s="233">
        <f>IF(G3&lt;=Inputs!$C$16,G22+G23+G24+G25+G26+(G30-F30),"")</f>
        <v>0</v>
      </c>
      <c r="H62" s="233">
        <f>IF(H3&lt;=Inputs!$C$16,H22+H23+H24+H25+H26+(H30-G30),"")</f>
        <v>0</v>
      </c>
      <c r="I62" s="233">
        <f>IF(I3&lt;=Inputs!$C$16,I22+I23+I24+I25+I26+(I30-H30),"")</f>
        <v>0</v>
      </c>
      <c r="J62" s="233">
        <f>IF(J3&lt;=Inputs!$C$16,J22+J23+J24+J25+J26+(J30-I30),"")</f>
        <v>0</v>
      </c>
      <c r="K62" s="233">
        <f>IF(K3&lt;=Inputs!$C$16,K22+K23+K24+K25+K26+(K30-J30),"")</f>
        <v>0</v>
      </c>
      <c r="L62" s="233">
        <f>IF(L3&lt;=Inputs!$C$16,L22+L23+L24+L25+L26+(L30-K30),"")</f>
        <v>0</v>
      </c>
      <c r="M62" s="233">
        <f>IF(M3&lt;=Inputs!$C$16,M22+M23+M24+M25+M26+(M30-L30),"")</f>
        <v>0</v>
      </c>
      <c r="N62" s="233">
        <f>IF(N3&lt;=Inputs!$C$16,N22+N23+N24+N25+N26+(N30-M30),"")</f>
        <v>0</v>
      </c>
      <c r="O62" s="233">
        <f>IF(O3&lt;=Inputs!$C$16,O22+O23+O24+O25+O26+(O30-N30),"")</f>
        <v>0</v>
      </c>
      <c r="P62" s="233">
        <f>IF(P3&lt;=Inputs!$C$16,P22+P23+P24+P25+P26+(P30-O30),"")</f>
        <v>0</v>
      </c>
      <c r="Q62" s="233">
        <f>IF(Q3&lt;=Inputs!$C$16,Q22+Q23+Q24+Q25+Q26+(Q30-P30),"")</f>
        <v>0</v>
      </c>
      <c r="R62" s="233">
        <f>IF(R3&lt;=Inputs!$C$16,R22+R23+R24+R25+R26+(R30-Q30),"")</f>
        <v>0</v>
      </c>
      <c r="S62" s="233">
        <f>IF(S3&lt;=Inputs!$C$16,S22+S23+S24+S25+S26+(S30-R30),"")</f>
        <v>0</v>
      </c>
      <c r="T62" s="233">
        <f>IF(T3&lt;=Inputs!$C$16,T22+T23+T24+T25+T26+(T30-S30),"")</f>
        <v>0</v>
      </c>
      <c r="U62" s="233">
        <f>IF(U3&lt;=Inputs!$C$16,U22+U23+U24+U25+U26+(U30-T30),"")</f>
        <v>0</v>
      </c>
      <c r="V62" s="233">
        <f>IF(V3&lt;=Inputs!$C$16,V22+V23+V24+V25+V26+(V30-U30),"")</f>
        <v>0</v>
      </c>
      <c r="W62" s="233">
        <f>IF(W3&lt;=Inputs!$C$16,W22+W23+W24+W25+W26+(W30-V30),"")</f>
        <v>0</v>
      </c>
      <c r="X62" s="233">
        <f>IF(X3&lt;=Inputs!$C$16,X22+X23+X24+X25+X26+(X30-W30),"")</f>
        <v>0</v>
      </c>
      <c r="Y62" s="233">
        <f>IF(Y3&lt;=Inputs!$C$16,Y22+Y23+Y24+Y25+Y26+(Y30-X30),"")</f>
        <v>0</v>
      </c>
      <c r="Z62" s="233">
        <f>IF(Z3&lt;=Inputs!$C$16,Z22+Z23+Z24+Z25+Z26+(Z30-Y30),"")</f>
        <v>0</v>
      </c>
      <c r="AA62" s="233">
        <f>IF(AA3&lt;=Inputs!$C$16,AA22+AA23+AA24+AA25+AA26+(AA30-Z30),"")</f>
        <v>0</v>
      </c>
      <c r="AB62" s="233">
        <f>IF(AB3&lt;=Inputs!$C$16,AB22+AB23+AB24+AB25+AB26+(AB30-AA30),"")</f>
        <v>0</v>
      </c>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row>
    <row r="63" spans="1:171" s="61" customFormat="1" ht="13.8" x14ac:dyDescent="0.3">
      <c r="A63" s="284" t="s">
        <v>162</v>
      </c>
      <c r="B63" s="304"/>
      <c r="C63" s="60"/>
      <c r="D63" s="251" t="e">
        <f>IF(D3&lt;=Inputs!$C$16,1/(1+D32)^D3,"")</f>
        <v>#DIV/0!</v>
      </c>
      <c r="E63" s="251" t="e">
        <f>IF(E3&lt;=Inputs!$C$16,1/(1+E32)^E3,"")</f>
        <v>#DIV/0!</v>
      </c>
      <c r="F63" s="251" t="e">
        <f>IF(F3&lt;=Inputs!$C$16,1/(1+F32)^F3,"")</f>
        <v>#DIV/0!</v>
      </c>
      <c r="G63" s="251" t="e">
        <f>IF(G3&lt;=Inputs!$C$16,1/(1+G32)^G3,"")</f>
        <v>#DIV/0!</v>
      </c>
      <c r="H63" s="251" t="e">
        <f>IF(H3&lt;=Inputs!$C$16,1/(1+H32)^H3,"")</f>
        <v>#DIV/0!</v>
      </c>
      <c r="I63" s="251" t="e">
        <f>IF(I3&lt;=Inputs!$C$16,1/(1+I32)^I3,"")</f>
        <v>#DIV/0!</v>
      </c>
      <c r="J63" s="251" t="e">
        <f>IF(J3&lt;=Inputs!$C$16,1/(1+J32)^J3,"")</f>
        <v>#DIV/0!</v>
      </c>
      <c r="K63" s="251" t="e">
        <f>IF(K3&lt;=Inputs!$C$16,1/(1+K32)^K3,"")</f>
        <v>#DIV/0!</v>
      </c>
      <c r="L63" s="251" t="e">
        <f>IF(L3&lt;=Inputs!$C$16,1/(1+L32)^L3,"")</f>
        <v>#DIV/0!</v>
      </c>
      <c r="M63" s="251" t="e">
        <f>IF(M3&lt;=Inputs!$C$16,1/(1+M32)^M3,"")</f>
        <v>#DIV/0!</v>
      </c>
      <c r="N63" s="251" t="e">
        <f>IF(N3&lt;=Inputs!$C$16,1/(1+N32)^N3,"")</f>
        <v>#DIV/0!</v>
      </c>
      <c r="O63" s="251" t="e">
        <f>IF(O3&lt;=Inputs!$C$16,1/(1+O32)^O3,"")</f>
        <v>#DIV/0!</v>
      </c>
      <c r="P63" s="251" t="e">
        <f>IF(P3&lt;=Inputs!$C$16,1/(1+P32)^P3,"")</f>
        <v>#DIV/0!</v>
      </c>
      <c r="Q63" s="251" t="e">
        <f>IF(Q3&lt;=Inputs!$C$16,1/(1+Q32)^Q3,"")</f>
        <v>#DIV/0!</v>
      </c>
      <c r="R63" s="251" t="e">
        <f>IF(R3&lt;=Inputs!$C$16,1/(1+R32)^R3,"")</f>
        <v>#DIV/0!</v>
      </c>
      <c r="S63" s="251" t="e">
        <f>IF(S3&lt;=Inputs!$C$16,1/(1+S32)^S3,"")</f>
        <v>#DIV/0!</v>
      </c>
      <c r="T63" s="251" t="e">
        <f>IF(T3&lt;=Inputs!$C$16,1/(1+T32)^T3,"")</f>
        <v>#DIV/0!</v>
      </c>
      <c r="U63" s="251" t="e">
        <f>IF(U3&lt;=Inputs!$C$16,1/(1+U32)^U3,"")</f>
        <v>#DIV/0!</v>
      </c>
      <c r="V63" s="251" t="e">
        <f>IF(V3&lt;=Inputs!$C$16,1/(1+V32)^V3,"")</f>
        <v>#DIV/0!</v>
      </c>
      <c r="W63" s="251" t="e">
        <f>IF(W3&lt;=Inputs!$C$16,1/(1+W32)^W3,"")</f>
        <v>#DIV/0!</v>
      </c>
      <c r="X63" s="251" t="e">
        <f>IF(X3&lt;=Inputs!$C$16,1/(1+X32)^X3,"")</f>
        <v>#DIV/0!</v>
      </c>
      <c r="Y63" s="251" t="e">
        <f>IF(Y3&lt;=Inputs!$C$16,1/(1+Y32)^Y3,"")</f>
        <v>#DIV/0!</v>
      </c>
      <c r="Z63" s="251" t="e">
        <f>IF(Z3&lt;=Inputs!$C$16,1/(1+Z32)^Z3,"")</f>
        <v>#DIV/0!</v>
      </c>
      <c r="AA63" s="251" t="e">
        <f>IF(AA3&lt;=Inputs!$C$16,1/(1+AA32)^AA3,"")</f>
        <v>#DIV/0!</v>
      </c>
      <c r="AB63" s="251" t="e">
        <f>IF(AB3&lt;=Inputs!$C$16,1/(1+AB32)^AB3,"")</f>
        <v>#DIV/0!</v>
      </c>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row>
    <row r="64" spans="1:171" s="61" customFormat="1" ht="13.8" x14ac:dyDescent="0.3">
      <c r="A64" s="284" t="s">
        <v>163</v>
      </c>
      <c r="B64" s="304"/>
      <c r="C64" s="60"/>
      <c r="D64" s="11" t="e">
        <f>IF(D3&lt;=Inputs!$C$16,D62*D63,"")</f>
        <v>#DIV/0!</v>
      </c>
      <c r="E64" s="11" t="e">
        <f>IF(E3&lt;=Inputs!$C$16,E62*E63,"")</f>
        <v>#DIV/0!</v>
      </c>
      <c r="F64" s="11" t="e">
        <f>IF(F3&lt;=Inputs!$C$16,F62*F63,"")</f>
        <v>#DIV/0!</v>
      </c>
      <c r="G64" s="11" t="e">
        <f>IF(G3&lt;=Inputs!$C$16,G62*G63,"")</f>
        <v>#DIV/0!</v>
      </c>
      <c r="H64" s="11" t="e">
        <f>IF(H3&lt;=Inputs!$C$16,H62*H63,"")</f>
        <v>#DIV/0!</v>
      </c>
      <c r="I64" s="11" t="e">
        <f>IF(I3&lt;=Inputs!$C$16,I62*I63,"")</f>
        <v>#DIV/0!</v>
      </c>
      <c r="J64" s="11" t="e">
        <f>IF(J3&lt;=Inputs!$C$16,J62*J63,"")</f>
        <v>#DIV/0!</v>
      </c>
      <c r="K64" s="11" t="e">
        <f>IF(K3&lt;=Inputs!$C$16,K62*K63,"")</f>
        <v>#DIV/0!</v>
      </c>
      <c r="L64" s="11" t="e">
        <f>IF(L3&lt;=Inputs!$C$16,L62*L63,"")</f>
        <v>#DIV/0!</v>
      </c>
      <c r="M64" s="11" t="e">
        <f>IF(M3&lt;=Inputs!$C$16,M62*M63,"")</f>
        <v>#DIV/0!</v>
      </c>
      <c r="N64" s="11" t="e">
        <f>IF(N3&lt;=Inputs!$C$16,N62*N63,"")</f>
        <v>#DIV/0!</v>
      </c>
      <c r="O64" s="11" t="e">
        <f>IF(O3&lt;=Inputs!$C$16,O62*O63,"")</f>
        <v>#DIV/0!</v>
      </c>
      <c r="P64" s="11" t="e">
        <f>IF(P3&lt;=Inputs!$C$16,P62*P63,"")</f>
        <v>#DIV/0!</v>
      </c>
      <c r="Q64" s="11" t="e">
        <f>IF(Q3&lt;=Inputs!$C$16,Q62*Q63,"")</f>
        <v>#DIV/0!</v>
      </c>
      <c r="R64" s="11" t="e">
        <f>IF(R3&lt;=Inputs!$C$16,R62*R63,"")</f>
        <v>#DIV/0!</v>
      </c>
      <c r="S64" s="11" t="e">
        <f>IF(S3&lt;=Inputs!$C$16,S62*S63,"")</f>
        <v>#DIV/0!</v>
      </c>
      <c r="T64" s="11" t="e">
        <f>IF(T3&lt;=Inputs!$C$16,T62*T63,"")</f>
        <v>#DIV/0!</v>
      </c>
      <c r="U64" s="11" t="e">
        <f>IF(U3&lt;=Inputs!$C$16,U62*U63,"")</f>
        <v>#DIV/0!</v>
      </c>
      <c r="V64" s="11" t="e">
        <f>IF(V3&lt;=Inputs!$C$16,V62*V63,"")</f>
        <v>#DIV/0!</v>
      </c>
      <c r="W64" s="11" t="e">
        <f>IF(W3&lt;=Inputs!$C$16,W62*W63,"")</f>
        <v>#DIV/0!</v>
      </c>
      <c r="X64" s="11" t="e">
        <f>IF(X3&lt;=Inputs!$C$16,X62*X63,"")</f>
        <v>#DIV/0!</v>
      </c>
      <c r="Y64" s="11" t="e">
        <f>IF(Y3&lt;=Inputs!$C$16,Y62*Y63,"")</f>
        <v>#DIV/0!</v>
      </c>
      <c r="Z64" s="11" t="e">
        <f>IF(Z3&lt;=Inputs!$C$16,Z62*Z63,"")</f>
        <v>#DIV/0!</v>
      </c>
      <c r="AA64" s="11" t="e">
        <f>IF(AA3&lt;=Inputs!$C$16,AA62*AA63,"")</f>
        <v>#DIV/0!</v>
      </c>
      <c r="AB64" s="11" t="e">
        <f>IF(AB3&lt;=Inputs!$C$16,AB62*AB63,"")</f>
        <v>#DIV/0!</v>
      </c>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row>
    <row r="65" spans="1:132" s="61" customFormat="1" ht="13.8" x14ac:dyDescent="0.3">
      <c r="A65" s="288" t="s">
        <v>239</v>
      </c>
      <c r="B65" s="285"/>
      <c r="C65" s="289"/>
      <c r="D65" s="236" t="e">
        <f>IF(D3&lt;=Inputs!$C$16,D12*D63,"")</f>
        <v>#DIV/0!</v>
      </c>
      <c r="E65" s="236" t="e">
        <f>IF(E3&lt;=Inputs!$C$16,E12*E63,"")</f>
        <v>#DIV/0!</v>
      </c>
      <c r="F65" s="236" t="e">
        <f>IF(F3&lt;=Inputs!$C$16,F12*F63,"")</f>
        <v>#DIV/0!</v>
      </c>
      <c r="G65" s="236" t="e">
        <f>IF(G3&lt;=Inputs!$C$16,G12*G63,"")</f>
        <v>#DIV/0!</v>
      </c>
      <c r="H65" s="236" t="e">
        <f>IF(H3&lt;=Inputs!$C$16,H12*H63,"")</f>
        <v>#DIV/0!</v>
      </c>
      <c r="I65" s="236" t="e">
        <f>IF(I3&lt;=Inputs!$C$16,I12*I63,"")</f>
        <v>#DIV/0!</v>
      </c>
      <c r="J65" s="236" t="e">
        <f>IF(J3&lt;=Inputs!$C$16,J12*J63,"")</f>
        <v>#DIV/0!</v>
      </c>
      <c r="K65" s="236" t="e">
        <f>IF(K3&lt;=Inputs!$C$16,K12*K63,"")</f>
        <v>#DIV/0!</v>
      </c>
      <c r="L65" s="236" t="e">
        <f>IF(L3&lt;=Inputs!$C$16,L12*L63,"")</f>
        <v>#DIV/0!</v>
      </c>
      <c r="M65" s="236" t="e">
        <f>IF(M3&lt;=Inputs!$C$16,M12*M63,"")</f>
        <v>#DIV/0!</v>
      </c>
      <c r="N65" s="236" t="e">
        <f>IF(N3&lt;=Inputs!$C$16,N12*N63,"")</f>
        <v>#DIV/0!</v>
      </c>
      <c r="O65" s="236" t="e">
        <f>IF(O3&lt;=Inputs!$C$16,O12*O63,"")</f>
        <v>#DIV/0!</v>
      </c>
      <c r="P65" s="236" t="e">
        <f>IF(P3&lt;=Inputs!$C$16,P12*P63,"")</f>
        <v>#DIV/0!</v>
      </c>
      <c r="Q65" s="236" t="e">
        <f>IF(Q3&lt;=Inputs!$C$16,Q12*Q63,"")</f>
        <v>#DIV/0!</v>
      </c>
      <c r="R65" s="236" t="e">
        <f>IF(R3&lt;=Inputs!$C$16,R12*R63,"")</f>
        <v>#DIV/0!</v>
      </c>
      <c r="S65" s="236" t="e">
        <f>IF(S3&lt;=Inputs!$C$16,S12*S63,"")</f>
        <v>#DIV/0!</v>
      </c>
      <c r="T65" s="236" t="e">
        <f>IF(T3&lt;=Inputs!$C$16,T12*T63,"")</f>
        <v>#DIV/0!</v>
      </c>
      <c r="U65" s="236" t="e">
        <f>IF(U3&lt;=Inputs!$C$16,U12*U63,"")</f>
        <v>#DIV/0!</v>
      </c>
      <c r="V65" s="236" t="e">
        <f>IF(V3&lt;=Inputs!$C$16,V12*V63,"")</f>
        <v>#DIV/0!</v>
      </c>
      <c r="W65" s="236" t="e">
        <f>IF(W3&lt;=Inputs!$C$16,W12*W63,"")</f>
        <v>#DIV/0!</v>
      </c>
      <c r="X65" s="236" t="e">
        <f>IF(X3&lt;=Inputs!$C$16,X12*X63,"")</f>
        <v>#DIV/0!</v>
      </c>
      <c r="Y65" s="236" t="e">
        <f>IF(Y3&lt;=Inputs!$C$16,Y12*Y63,"")</f>
        <v>#DIV/0!</v>
      </c>
      <c r="Z65" s="236" t="e">
        <f>IF(Z3&lt;=Inputs!$C$16,Z12*Z63,"")</f>
        <v>#DIV/0!</v>
      </c>
      <c r="AA65" s="236" t="e">
        <f>IF(AA3&lt;=Inputs!$C$16,AA12*AA63,"")</f>
        <v>#DIV/0!</v>
      </c>
      <c r="AB65" s="236" t="e">
        <f>IF(AB3&lt;=Inputs!$C$16,AB12*AB63,"")</f>
        <v>#DIV/0!</v>
      </c>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row>
    <row r="66" spans="1:132" s="335" customFormat="1" ht="13.8" x14ac:dyDescent="0.3">
      <c r="A66" s="332" t="s">
        <v>356</v>
      </c>
      <c r="B66" s="333"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6" s="334"/>
      <c r="D66" s="252" t="e">
        <f>IF(SUM(D65:AB65)&gt;0,SUM(D64:AB64)/SUM(D65:AB65),0)</f>
        <v>#DIV/0!</v>
      </c>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157"/>
      <c r="AD66" s="157"/>
      <c r="AE66" s="157"/>
      <c r="AF66" s="157"/>
      <c r="AG66" s="157"/>
      <c r="AH66" s="157"/>
      <c r="AI66" s="157"/>
      <c r="AJ66" s="157"/>
      <c r="AK66" s="157"/>
      <c r="AL66" s="157"/>
    </row>
    <row r="68" spans="1:132" s="163" customFormat="1" x14ac:dyDescent="0.3">
      <c r="A68" s="320" t="s">
        <v>251</v>
      </c>
      <c r="B68"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8" s="337"/>
      <c r="D68" s="254" t="e">
        <f t="shared" ref="D68:AB68" si="79">D40</f>
        <v>#DIV/0!</v>
      </c>
      <c r="E68" s="254" t="e">
        <f t="shared" si="79"/>
        <v>#DIV/0!</v>
      </c>
      <c r="F68" s="254" t="e">
        <f t="shared" si="79"/>
        <v>#DIV/0!</v>
      </c>
      <c r="G68" s="254" t="e">
        <f t="shared" si="79"/>
        <v>#DIV/0!</v>
      </c>
      <c r="H68" s="254" t="e">
        <f t="shared" si="79"/>
        <v>#DIV/0!</v>
      </c>
      <c r="I68" s="254" t="e">
        <f t="shared" si="79"/>
        <v>#DIV/0!</v>
      </c>
      <c r="J68" s="254" t="e">
        <f t="shared" si="79"/>
        <v>#DIV/0!</v>
      </c>
      <c r="K68" s="254" t="e">
        <f t="shared" si="79"/>
        <v>#DIV/0!</v>
      </c>
      <c r="L68" s="254" t="e">
        <f t="shared" si="79"/>
        <v>#DIV/0!</v>
      </c>
      <c r="M68" s="254" t="e">
        <f t="shared" si="79"/>
        <v>#DIV/0!</v>
      </c>
      <c r="N68" s="254" t="e">
        <f t="shared" si="79"/>
        <v>#DIV/0!</v>
      </c>
      <c r="O68" s="254" t="e">
        <f t="shared" si="79"/>
        <v>#DIV/0!</v>
      </c>
      <c r="P68" s="254" t="e">
        <f t="shared" si="79"/>
        <v>#DIV/0!</v>
      </c>
      <c r="Q68" s="254" t="e">
        <f t="shared" si="79"/>
        <v>#DIV/0!</v>
      </c>
      <c r="R68" s="254" t="e">
        <f t="shared" si="79"/>
        <v>#DIV/0!</v>
      </c>
      <c r="S68" s="254" t="e">
        <f t="shared" si="79"/>
        <v>#DIV/0!</v>
      </c>
      <c r="T68" s="254" t="e">
        <f t="shared" si="79"/>
        <v>#DIV/0!</v>
      </c>
      <c r="U68" s="254" t="e">
        <f t="shared" si="79"/>
        <v>#DIV/0!</v>
      </c>
      <c r="V68" s="254" t="e">
        <f t="shared" si="79"/>
        <v>#DIV/0!</v>
      </c>
      <c r="W68" s="254" t="e">
        <f t="shared" si="79"/>
        <v>#DIV/0!</v>
      </c>
      <c r="X68" s="254" t="e">
        <f t="shared" si="79"/>
        <v>#DIV/0!</v>
      </c>
      <c r="Y68" s="254" t="e">
        <f t="shared" si="79"/>
        <v>#DIV/0!</v>
      </c>
      <c r="Z68" s="254" t="e">
        <f t="shared" si="79"/>
        <v>#DIV/0!</v>
      </c>
      <c r="AA68" s="254" t="e">
        <f t="shared" si="79"/>
        <v>#DIV/0!</v>
      </c>
      <c r="AB68" s="255" t="e">
        <f t="shared" si="79"/>
        <v>#DIV/0!</v>
      </c>
    </row>
    <row r="69" spans="1:132" s="163" customFormat="1" x14ac:dyDescent="0.3">
      <c r="A69" s="57"/>
      <c r="B69" s="106"/>
    </row>
    <row r="70" spans="1:132" s="163" customFormat="1" x14ac:dyDescent="0.3">
      <c r="A70" s="338" t="s">
        <v>252</v>
      </c>
      <c r="B70" s="336" t="s">
        <v>258</v>
      </c>
      <c r="C70" s="337"/>
      <c r="D70" s="455" t="e">
        <f>D37/Inputs!$B$205/12</f>
        <v>#DIV/0!</v>
      </c>
      <c r="E70" s="254" t="e">
        <f>E37/Inputs!$B$205/12</f>
        <v>#DIV/0!</v>
      </c>
      <c r="F70" s="254" t="e">
        <f>F37/Inputs!$B$205/12</f>
        <v>#DIV/0!</v>
      </c>
      <c r="G70" s="254" t="e">
        <f>G37/Inputs!$B$205/12</f>
        <v>#DIV/0!</v>
      </c>
      <c r="H70" s="254" t="e">
        <f>H37/Inputs!$B$205/12</f>
        <v>#DIV/0!</v>
      </c>
      <c r="I70" s="254" t="e">
        <f>I37/Inputs!$B$205/12</f>
        <v>#DIV/0!</v>
      </c>
      <c r="J70" s="254" t="e">
        <f>J37/Inputs!$B$205/12</f>
        <v>#DIV/0!</v>
      </c>
      <c r="K70" s="254" t="e">
        <f>K37/Inputs!$B$205/12</f>
        <v>#DIV/0!</v>
      </c>
      <c r="L70" s="254" t="e">
        <f>L37/Inputs!$B$205/12</f>
        <v>#DIV/0!</v>
      </c>
      <c r="M70" s="254" t="e">
        <f>M37/Inputs!$B$205/12</f>
        <v>#DIV/0!</v>
      </c>
      <c r="N70" s="254" t="e">
        <f>N37/Inputs!$B$205/12</f>
        <v>#DIV/0!</v>
      </c>
      <c r="O70" s="254" t="e">
        <f>O37/Inputs!$B$205/12</f>
        <v>#DIV/0!</v>
      </c>
      <c r="P70" s="254" t="e">
        <f>P37/Inputs!$B$205/12</f>
        <v>#DIV/0!</v>
      </c>
      <c r="Q70" s="254" t="e">
        <f>Q37/Inputs!$B$205/12</f>
        <v>#DIV/0!</v>
      </c>
      <c r="R70" s="254" t="e">
        <f>R37/Inputs!$B$205/12</f>
        <v>#DIV/0!</v>
      </c>
      <c r="S70" s="254" t="e">
        <f>S37/Inputs!$B$205/12</f>
        <v>#DIV/0!</v>
      </c>
      <c r="T70" s="254" t="e">
        <f>T37/Inputs!$B$205/12</f>
        <v>#DIV/0!</v>
      </c>
      <c r="U70" s="254" t="e">
        <f>U37/Inputs!$B$205/12</f>
        <v>#DIV/0!</v>
      </c>
      <c r="V70" s="254" t="e">
        <f>V37/Inputs!$B$205/12</f>
        <v>#DIV/0!</v>
      </c>
      <c r="W70" s="254" t="e">
        <f>W37/Inputs!$B$205/12</f>
        <v>#DIV/0!</v>
      </c>
      <c r="X70" s="254" t="e">
        <f>X37/Inputs!$B$205/12</f>
        <v>#DIV/0!</v>
      </c>
      <c r="Y70" s="254" t="e">
        <f>Y37/Inputs!$B$205/12</f>
        <v>#DIV/0!</v>
      </c>
      <c r="Z70" s="254" t="e">
        <f>Z37/Inputs!$B$205/12</f>
        <v>#DIV/0!</v>
      </c>
      <c r="AA70" s="254" t="e">
        <f>AA37/Inputs!$B$205/12</f>
        <v>#DIV/0!</v>
      </c>
      <c r="AB70" s="255" t="e">
        <f>AB37/Inputs!$B$205/12</f>
        <v>#DIV/0!</v>
      </c>
    </row>
    <row r="71" spans="1:132" s="163" customFormat="1" x14ac:dyDescent="0.3">
      <c r="B71" s="106"/>
    </row>
    <row r="72" spans="1:132" s="186" customFormat="1" x14ac:dyDescent="0.3">
      <c r="A72" s="594" t="s">
        <v>250</v>
      </c>
      <c r="B72" s="339" t="s">
        <v>255</v>
      </c>
      <c r="C72" s="339" t="s">
        <v>258</v>
      </c>
      <c r="D72" s="257" t="e">
        <f>-(-D34-Inputs!$C$139-Inputs!$C$140)/Inputs!$B$205/12</f>
        <v>#DIV/0!</v>
      </c>
      <c r="E72" s="257" t="e">
        <f>-(-E34-Inputs!$C$139-Inputs!$C$140)/Inputs!$B$205/12</f>
        <v>#DIV/0!</v>
      </c>
      <c r="F72" s="257" t="e">
        <f>-(-F34-Inputs!$C$139-Inputs!$C$140)/Inputs!$B$205/12</f>
        <v>#DIV/0!</v>
      </c>
      <c r="G72" s="257" t="e">
        <f>-(-G34-Inputs!$C$139-Inputs!$C$140)/Inputs!$B$205/12</f>
        <v>#DIV/0!</v>
      </c>
      <c r="H72" s="257" t="e">
        <f>-(-H34-Inputs!$C$139-Inputs!$C$140)/Inputs!$B$205/12</f>
        <v>#DIV/0!</v>
      </c>
      <c r="I72" s="257" t="e">
        <f>-(-I34-Inputs!$C$139-Inputs!$C$140)/Inputs!$B$205/12</f>
        <v>#DIV/0!</v>
      </c>
      <c r="J72" s="257" t="e">
        <f>-(-J34-Inputs!$C$139-Inputs!$C$140)/Inputs!$B$205/12</f>
        <v>#DIV/0!</v>
      </c>
      <c r="K72" s="257" t="e">
        <f>-(-K34-Inputs!$C$139-Inputs!$C$140)/Inputs!$B$205/12</f>
        <v>#DIV/0!</v>
      </c>
      <c r="L72" s="257" t="e">
        <f>-(-L34-Inputs!$C$139-Inputs!$C$140)/Inputs!$B$205/12</f>
        <v>#DIV/0!</v>
      </c>
      <c r="M72" s="257" t="e">
        <f>-(-M34-Inputs!$C$139-Inputs!$C$140)/Inputs!$B$205/12</f>
        <v>#DIV/0!</v>
      </c>
      <c r="N72" s="257" t="e">
        <f>-(-N34-Inputs!$C$139-Inputs!$C$140)/Inputs!$B$205/12</f>
        <v>#DIV/0!</v>
      </c>
      <c r="O72" s="257" t="e">
        <f>-(-O34-Inputs!$C$139-Inputs!$C$140)/Inputs!$B$205/12</f>
        <v>#DIV/0!</v>
      </c>
      <c r="P72" s="257" t="e">
        <f>-(-P34-Inputs!$C$139-Inputs!$C$140)/Inputs!$B$205/12</f>
        <v>#DIV/0!</v>
      </c>
      <c r="Q72" s="257" t="e">
        <f>-(-Q34-Inputs!$C$139-Inputs!$C$140)/Inputs!$B$205/12</f>
        <v>#DIV/0!</v>
      </c>
      <c r="R72" s="257" t="e">
        <f>-(-R34-Inputs!$C$139-Inputs!$C$140)/Inputs!$B$205/12</f>
        <v>#DIV/0!</v>
      </c>
      <c r="S72" s="257" t="e">
        <f>-(-S34-Inputs!$C$139-Inputs!$C$140)/Inputs!$B$205/12</f>
        <v>#DIV/0!</v>
      </c>
      <c r="T72" s="257" t="e">
        <f>-(-T34-Inputs!$C$139-Inputs!$C$140)/Inputs!$B$205/12</f>
        <v>#DIV/0!</v>
      </c>
      <c r="U72" s="257" t="e">
        <f>-(-U34-Inputs!$C$139-Inputs!$C$140)/Inputs!$B$205/12</f>
        <v>#DIV/0!</v>
      </c>
      <c r="V72" s="257" t="e">
        <f>-(-V34-Inputs!$C$139-Inputs!$C$140)/Inputs!$B$205/12</f>
        <v>#DIV/0!</v>
      </c>
      <c r="W72" s="257" t="e">
        <f>-(-W34-Inputs!$C$139-Inputs!$C$140)/Inputs!$B$205/12</f>
        <v>#DIV/0!</v>
      </c>
      <c r="X72" s="257" t="e">
        <f>-(-X34-Inputs!$C$139-Inputs!$C$140)/Inputs!$B$205/12</f>
        <v>#DIV/0!</v>
      </c>
      <c r="Y72" s="257" t="e">
        <f>-(-Y34-Inputs!$C$139-Inputs!$C$140)/Inputs!$B$205/12</f>
        <v>#DIV/0!</v>
      </c>
      <c r="Z72" s="257" t="e">
        <f>-(-Z34-Inputs!$C$139-Inputs!$C$140)/Inputs!$B$205/12</f>
        <v>#DIV/0!</v>
      </c>
      <c r="AA72" s="257" t="e">
        <f>-(-AA34-Inputs!$C$139-Inputs!$C$140)/Inputs!$B$205/12</f>
        <v>#DIV/0!</v>
      </c>
      <c r="AB72" s="258" t="e">
        <f>-(-AB34-Inputs!$C$139-Inputs!$C$140)/Inputs!$B$205/12</f>
        <v>#DIV/0!</v>
      </c>
    </row>
    <row r="73" spans="1:132" s="341" customFormat="1" x14ac:dyDescent="0.3">
      <c r="A73" s="595"/>
      <c r="B73" s="340" t="s">
        <v>259</v>
      </c>
      <c r="C73"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3" s="259" t="e">
        <f>(Calculations!D37-D34-Inputs!$C$139-Inputs!$C$140)/D12</f>
        <v>#DIV/0!</v>
      </c>
      <c r="E73" s="259" t="e">
        <f>(Calculations!E37-E34-Inputs!$C$139-Inputs!$C$140)/E12</f>
        <v>#DIV/0!</v>
      </c>
      <c r="F73" s="259" t="e">
        <f>(Calculations!F37-F34-Inputs!$C$139-Inputs!$C$140)/F12</f>
        <v>#DIV/0!</v>
      </c>
      <c r="G73" s="259" t="e">
        <f>(Calculations!G37-G34-Inputs!$C$139-Inputs!$C$140)/G12</f>
        <v>#DIV/0!</v>
      </c>
      <c r="H73" s="259" t="e">
        <f>(Calculations!H37-H34-Inputs!$C$139-Inputs!$C$140)/H12</f>
        <v>#DIV/0!</v>
      </c>
      <c r="I73" s="259" t="e">
        <f>(Calculations!I37-I34-Inputs!$C$139-Inputs!$C$140)/I12</f>
        <v>#DIV/0!</v>
      </c>
      <c r="J73" s="259" t="e">
        <f>(Calculations!J37-J34-Inputs!$C$139-Inputs!$C$140)/J12</f>
        <v>#DIV/0!</v>
      </c>
      <c r="K73" s="259" t="e">
        <f>(Calculations!K37-K34-Inputs!$C$139-Inputs!$C$140)/K12</f>
        <v>#DIV/0!</v>
      </c>
      <c r="L73" s="259" t="e">
        <f>(Calculations!L37-L34-Inputs!$C$139-Inputs!$C$140)/L12</f>
        <v>#DIV/0!</v>
      </c>
      <c r="M73" s="259" t="e">
        <f>(Calculations!M37-M34-Inputs!$C$139-Inputs!$C$140)/M12</f>
        <v>#DIV/0!</v>
      </c>
      <c r="N73" s="259" t="e">
        <f>(Calculations!N37-N34-Inputs!$C$139-Inputs!$C$140)/N12</f>
        <v>#DIV/0!</v>
      </c>
      <c r="O73" s="259" t="e">
        <f>(Calculations!O37-O34-Inputs!$C$139-Inputs!$C$140)/O12</f>
        <v>#DIV/0!</v>
      </c>
      <c r="P73" s="259" t="e">
        <f>(Calculations!P37-P34-Inputs!$C$139-Inputs!$C$140)/P12</f>
        <v>#DIV/0!</v>
      </c>
      <c r="Q73" s="259" t="e">
        <f>(Calculations!Q37-Q34-Inputs!$C$139-Inputs!$C$140)/Q12</f>
        <v>#DIV/0!</v>
      </c>
      <c r="R73" s="259" t="e">
        <f>(Calculations!R37-R34-Inputs!$C$139-Inputs!$C$140)/R12</f>
        <v>#DIV/0!</v>
      </c>
      <c r="S73" s="259" t="e">
        <f>(Calculations!S37-S34-Inputs!$C$139-Inputs!$C$140)/S12</f>
        <v>#DIV/0!</v>
      </c>
      <c r="T73" s="259" t="e">
        <f>(Calculations!T37-T34-Inputs!$C$139-Inputs!$C$140)/T12</f>
        <v>#DIV/0!</v>
      </c>
      <c r="U73" s="259" t="e">
        <f>(Calculations!U37-U34-Inputs!$C$139-Inputs!$C$140)/U12</f>
        <v>#DIV/0!</v>
      </c>
      <c r="V73" s="259" t="e">
        <f>(Calculations!V37-V34-Inputs!$C$139-Inputs!$C$140)/V12</f>
        <v>#DIV/0!</v>
      </c>
      <c r="W73" s="259" t="e">
        <f>(Calculations!W37-W34-Inputs!$C$139-Inputs!$C$140)/W12</f>
        <v>#DIV/0!</v>
      </c>
      <c r="X73" s="259" t="e">
        <f>(Calculations!X37-X34-Inputs!$C$139-Inputs!$C$140)/X12</f>
        <v>#DIV/0!</v>
      </c>
      <c r="Y73" s="259" t="e">
        <f>(Calculations!Y37-Y34-Inputs!$C$139-Inputs!$C$140)/Y12</f>
        <v>#DIV/0!</v>
      </c>
      <c r="Z73" s="259" t="e">
        <f>(Calculations!Z37-Z34-Inputs!$C$139-Inputs!$C$140)/Z12</f>
        <v>#DIV/0!</v>
      </c>
      <c r="AA73" s="259" t="e">
        <f>(Calculations!AA37-AA34-Inputs!$C$139-Inputs!$C$140)/AA12</f>
        <v>#DIV/0!</v>
      </c>
      <c r="AB73" s="260" t="e">
        <f>(Calculations!AB37-AB34-Inputs!$C$139-Inputs!$C$140)/AB12</f>
        <v>#DIV/0!</v>
      </c>
    </row>
    <row r="74" spans="1:132" s="341" customFormat="1" x14ac:dyDescent="0.3">
      <c r="A74" s="342"/>
      <c r="B74" s="106"/>
      <c r="C74" s="106"/>
    </row>
    <row r="75" spans="1:132" x14ac:dyDescent="0.3">
      <c r="A75" s="338" t="s">
        <v>256</v>
      </c>
      <c r="B75" s="338"/>
      <c r="C75" s="338"/>
      <c r="D75" s="338"/>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4"/>
    </row>
    <row r="76" spans="1:132" x14ac:dyDescent="0.3">
      <c r="A76" s="345" t="str">
        <f>Inputs!A198</f>
        <v>placeholder1 (Lifeline)</v>
      </c>
      <c r="B7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6" s="256" t="e">
        <f>D$68*Inputs!$G198</f>
        <v>#DIV/0!</v>
      </c>
      <c r="E76" s="256" t="e">
        <f>E$68*Inputs!$G198</f>
        <v>#DIV/0!</v>
      </c>
      <c r="F76" s="256" t="e">
        <f>F$68*Inputs!$G198</f>
        <v>#DIV/0!</v>
      </c>
      <c r="G76" s="256" t="e">
        <f>G$68*Inputs!$G198</f>
        <v>#DIV/0!</v>
      </c>
      <c r="H76" s="256" t="e">
        <f>H$68*Inputs!$G198</f>
        <v>#DIV/0!</v>
      </c>
      <c r="I76" s="256" t="e">
        <f>I$68*Inputs!$G198</f>
        <v>#DIV/0!</v>
      </c>
      <c r="J76" s="256" t="e">
        <f>J$68*Inputs!$G198</f>
        <v>#DIV/0!</v>
      </c>
      <c r="K76" s="256" t="e">
        <f>K$68*Inputs!$G198</f>
        <v>#DIV/0!</v>
      </c>
      <c r="L76" s="256" t="e">
        <f>L$68*Inputs!$G198</f>
        <v>#DIV/0!</v>
      </c>
      <c r="M76" s="256" t="e">
        <f>M$68*Inputs!$G198</f>
        <v>#DIV/0!</v>
      </c>
      <c r="N76" s="256" t="e">
        <f>N$68*Inputs!$G198</f>
        <v>#DIV/0!</v>
      </c>
      <c r="O76" s="256" t="e">
        <f>O$68*Inputs!$G198</f>
        <v>#DIV/0!</v>
      </c>
      <c r="P76" s="256" t="e">
        <f>P$68*Inputs!$G198</f>
        <v>#DIV/0!</v>
      </c>
      <c r="Q76" s="256" t="e">
        <f>Q$68*Inputs!$G198</f>
        <v>#DIV/0!</v>
      </c>
      <c r="R76" s="256" t="e">
        <f>R$68*Inputs!$G198</f>
        <v>#DIV/0!</v>
      </c>
      <c r="S76" s="256" t="e">
        <f>S$68*Inputs!$G198</f>
        <v>#DIV/0!</v>
      </c>
      <c r="T76" s="256" t="e">
        <f>T$68*Inputs!$G198</f>
        <v>#DIV/0!</v>
      </c>
      <c r="U76" s="256" t="e">
        <f>U$68*Inputs!$G198</f>
        <v>#DIV/0!</v>
      </c>
      <c r="V76" s="256" t="e">
        <f>V$68*Inputs!$G198</f>
        <v>#DIV/0!</v>
      </c>
      <c r="W76" s="256" t="e">
        <f>W$68*Inputs!$G198</f>
        <v>#DIV/0!</v>
      </c>
      <c r="X76" s="256" t="e">
        <f>X$68*Inputs!$G198</f>
        <v>#DIV/0!</v>
      </c>
      <c r="Y76" s="256" t="e">
        <f>Y$68*Inputs!$G198</f>
        <v>#DIV/0!</v>
      </c>
      <c r="Z76" s="256" t="e">
        <f>Z$68*Inputs!$G198</f>
        <v>#DIV/0!</v>
      </c>
      <c r="AA76" s="256" t="e">
        <f>AA$68*Inputs!$G198</f>
        <v>#DIV/0!</v>
      </c>
      <c r="AB76" s="261" t="e">
        <f>AB$68*Inputs!$G198</f>
        <v>#DIV/0!</v>
      </c>
    </row>
    <row r="77" spans="1:132" x14ac:dyDescent="0.3">
      <c r="A77" s="345" t="str">
        <f>Inputs!A199</f>
        <v>placeholder2 (Households)</v>
      </c>
      <c r="B77"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7" s="256" t="e">
        <f>D$68*Inputs!$G199</f>
        <v>#DIV/0!</v>
      </c>
      <c r="E77" s="256" t="e">
        <f>E$68*Inputs!$G199</f>
        <v>#DIV/0!</v>
      </c>
      <c r="F77" s="256" t="e">
        <f>F$68*Inputs!$G199</f>
        <v>#DIV/0!</v>
      </c>
      <c r="G77" s="256" t="e">
        <f>G$68*Inputs!$G199</f>
        <v>#DIV/0!</v>
      </c>
      <c r="H77" s="256" t="e">
        <f>H$68*Inputs!$G199</f>
        <v>#DIV/0!</v>
      </c>
      <c r="I77" s="256" t="e">
        <f>I$68*Inputs!$G199</f>
        <v>#DIV/0!</v>
      </c>
      <c r="J77" s="256" t="e">
        <f>J$68*Inputs!$G199</f>
        <v>#DIV/0!</v>
      </c>
      <c r="K77" s="256" t="e">
        <f>K$68*Inputs!$G199</f>
        <v>#DIV/0!</v>
      </c>
      <c r="L77" s="256" t="e">
        <f>L$68*Inputs!$G199</f>
        <v>#DIV/0!</v>
      </c>
      <c r="M77" s="256" t="e">
        <f>M$68*Inputs!$G199</f>
        <v>#DIV/0!</v>
      </c>
      <c r="N77" s="256" t="e">
        <f>N$68*Inputs!$G199</f>
        <v>#DIV/0!</v>
      </c>
      <c r="O77" s="256" t="e">
        <f>O$68*Inputs!$G199</f>
        <v>#DIV/0!</v>
      </c>
      <c r="P77" s="256" t="e">
        <f>P$68*Inputs!$G199</f>
        <v>#DIV/0!</v>
      </c>
      <c r="Q77" s="256" t="e">
        <f>Q$68*Inputs!$G199</f>
        <v>#DIV/0!</v>
      </c>
      <c r="R77" s="256" t="e">
        <f>R$68*Inputs!$G199</f>
        <v>#DIV/0!</v>
      </c>
      <c r="S77" s="256" t="e">
        <f>S$68*Inputs!$G199</f>
        <v>#DIV/0!</v>
      </c>
      <c r="T77" s="256" t="e">
        <f>T$68*Inputs!$G199</f>
        <v>#DIV/0!</v>
      </c>
      <c r="U77" s="256" t="e">
        <f>U$68*Inputs!$G199</f>
        <v>#DIV/0!</v>
      </c>
      <c r="V77" s="256" t="e">
        <f>V$68*Inputs!$G199</f>
        <v>#DIV/0!</v>
      </c>
      <c r="W77" s="256" t="e">
        <f>W$68*Inputs!$G199</f>
        <v>#DIV/0!</v>
      </c>
      <c r="X77" s="256" t="e">
        <f>X$68*Inputs!$G199</f>
        <v>#DIV/0!</v>
      </c>
      <c r="Y77" s="256" t="e">
        <f>Y$68*Inputs!$G199</f>
        <v>#DIV/0!</v>
      </c>
      <c r="Z77" s="256" t="e">
        <f>Z$68*Inputs!$G199</f>
        <v>#DIV/0!</v>
      </c>
      <c r="AA77" s="256" t="e">
        <f>AA$68*Inputs!$G199</f>
        <v>#DIV/0!</v>
      </c>
      <c r="AB77" s="261" t="e">
        <f>AB$68*Inputs!$G199</f>
        <v>#DIV/0!</v>
      </c>
    </row>
    <row r="78" spans="1:132" x14ac:dyDescent="0.3">
      <c r="A78" s="345" t="str">
        <f>Inputs!A200</f>
        <v>placeholder3 (Business basic shops for lighting)</v>
      </c>
      <c r="B7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8" s="256" t="e">
        <f>D$68*Inputs!$G200</f>
        <v>#DIV/0!</v>
      </c>
      <c r="E78" s="256" t="e">
        <f>E$68*Inputs!$G200</f>
        <v>#DIV/0!</v>
      </c>
      <c r="F78" s="256" t="e">
        <f>F$68*Inputs!$G200</f>
        <v>#DIV/0!</v>
      </c>
      <c r="G78" s="256" t="e">
        <f>G$68*Inputs!$G200</f>
        <v>#DIV/0!</v>
      </c>
      <c r="H78" s="256" t="e">
        <f>H$68*Inputs!$G200</f>
        <v>#DIV/0!</v>
      </c>
      <c r="I78" s="256" t="e">
        <f>I$68*Inputs!$G200</f>
        <v>#DIV/0!</v>
      </c>
      <c r="J78" s="256" t="e">
        <f>J$68*Inputs!$G200</f>
        <v>#DIV/0!</v>
      </c>
      <c r="K78" s="256" t="e">
        <f>K$68*Inputs!$G200</f>
        <v>#DIV/0!</v>
      </c>
      <c r="L78" s="256" t="e">
        <f>L$68*Inputs!$G200</f>
        <v>#DIV/0!</v>
      </c>
      <c r="M78" s="256" t="e">
        <f>M$68*Inputs!$G200</f>
        <v>#DIV/0!</v>
      </c>
      <c r="N78" s="256" t="e">
        <f>N$68*Inputs!$G200</f>
        <v>#DIV/0!</v>
      </c>
      <c r="O78" s="256" t="e">
        <f>O$68*Inputs!$G200</f>
        <v>#DIV/0!</v>
      </c>
      <c r="P78" s="256" t="e">
        <f>P$68*Inputs!$G200</f>
        <v>#DIV/0!</v>
      </c>
      <c r="Q78" s="256" t="e">
        <f>Q$68*Inputs!$G200</f>
        <v>#DIV/0!</v>
      </c>
      <c r="R78" s="256" t="e">
        <f>R$68*Inputs!$G200</f>
        <v>#DIV/0!</v>
      </c>
      <c r="S78" s="256" t="e">
        <f>S$68*Inputs!$G200</f>
        <v>#DIV/0!</v>
      </c>
      <c r="T78" s="256" t="e">
        <f>T$68*Inputs!$G200</f>
        <v>#DIV/0!</v>
      </c>
      <c r="U78" s="256" t="e">
        <f>U$68*Inputs!$G200</f>
        <v>#DIV/0!</v>
      </c>
      <c r="V78" s="256" t="e">
        <f>V$68*Inputs!$G200</f>
        <v>#DIV/0!</v>
      </c>
      <c r="W78" s="256" t="e">
        <f>W$68*Inputs!$G200</f>
        <v>#DIV/0!</v>
      </c>
      <c r="X78" s="256" t="e">
        <f>X$68*Inputs!$G200</f>
        <v>#DIV/0!</v>
      </c>
      <c r="Y78" s="256" t="e">
        <f>Y$68*Inputs!$G200</f>
        <v>#DIV/0!</v>
      </c>
      <c r="Z78" s="256" t="e">
        <f>Z$68*Inputs!$G200</f>
        <v>#DIV/0!</v>
      </c>
      <c r="AA78" s="256" t="e">
        <f>AA$68*Inputs!$G200</f>
        <v>#DIV/0!</v>
      </c>
      <c r="AB78" s="261" t="e">
        <f>AB$68*Inputs!$G200</f>
        <v>#DIV/0!</v>
      </c>
    </row>
    <row r="79" spans="1:132" x14ac:dyDescent="0.3">
      <c r="A79" s="345" t="str">
        <f>Inputs!A201</f>
        <v>placeholder4 (Business with appliances like fridges, freezers, etc)</v>
      </c>
      <c r="B79"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9" s="256" t="e">
        <f>D$68*Inputs!$G201</f>
        <v>#DIV/0!</v>
      </c>
      <c r="E79" s="256" t="e">
        <f>E$68*Inputs!$G201</f>
        <v>#DIV/0!</v>
      </c>
      <c r="F79" s="256" t="e">
        <f>F$68*Inputs!$G201</f>
        <v>#DIV/0!</v>
      </c>
      <c r="G79" s="256" t="e">
        <f>G$68*Inputs!$G201</f>
        <v>#DIV/0!</v>
      </c>
      <c r="H79" s="256" t="e">
        <f>H$68*Inputs!$G201</f>
        <v>#DIV/0!</v>
      </c>
      <c r="I79" s="256" t="e">
        <f>I$68*Inputs!$G201</f>
        <v>#DIV/0!</v>
      </c>
      <c r="J79" s="256" t="e">
        <f>J$68*Inputs!$G201</f>
        <v>#DIV/0!</v>
      </c>
      <c r="K79" s="256" t="e">
        <f>K$68*Inputs!$G201</f>
        <v>#DIV/0!</v>
      </c>
      <c r="L79" s="256" t="e">
        <f>L$68*Inputs!$G201</f>
        <v>#DIV/0!</v>
      </c>
      <c r="M79" s="256" t="e">
        <f>M$68*Inputs!$G201</f>
        <v>#DIV/0!</v>
      </c>
      <c r="N79" s="256" t="e">
        <f>N$68*Inputs!$G201</f>
        <v>#DIV/0!</v>
      </c>
      <c r="O79" s="256" t="e">
        <f>O$68*Inputs!$G201</f>
        <v>#DIV/0!</v>
      </c>
      <c r="P79" s="256" t="e">
        <f>P$68*Inputs!$G201</f>
        <v>#DIV/0!</v>
      </c>
      <c r="Q79" s="256" t="e">
        <f>Q$68*Inputs!$G201</f>
        <v>#DIV/0!</v>
      </c>
      <c r="R79" s="256" t="e">
        <f>R$68*Inputs!$G201</f>
        <v>#DIV/0!</v>
      </c>
      <c r="S79" s="256" t="e">
        <f>S$68*Inputs!$G201</f>
        <v>#DIV/0!</v>
      </c>
      <c r="T79" s="256" t="e">
        <f>T$68*Inputs!$G201</f>
        <v>#DIV/0!</v>
      </c>
      <c r="U79" s="256" t="e">
        <f>U$68*Inputs!$G201</f>
        <v>#DIV/0!</v>
      </c>
      <c r="V79" s="256" t="e">
        <f>V$68*Inputs!$G201</f>
        <v>#DIV/0!</v>
      </c>
      <c r="W79" s="256" t="e">
        <f>W$68*Inputs!$G201</f>
        <v>#DIV/0!</v>
      </c>
      <c r="X79" s="256" t="e">
        <f>X$68*Inputs!$G201</f>
        <v>#DIV/0!</v>
      </c>
      <c r="Y79" s="256" t="e">
        <f>Y$68*Inputs!$G201</f>
        <v>#DIV/0!</v>
      </c>
      <c r="Z79" s="256" t="e">
        <f>Z$68*Inputs!$G201</f>
        <v>#DIV/0!</v>
      </c>
      <c r="AA79" s="256" t="e">
        <f>AA$68*Inputs!$G201</f>
        <v>#DIV/0!</v>
      </c>
      <c r="AB79" s="261" t="e">
        <f>AB$68*Inputs!$G201</f>
        <v>#DIV/0!</v>
      </c>
    </row>
    <row r="80" spans="1:132" x14ac:dyDescent="0.3">
      <c r="A80" s="345" t="str">
        <f>Inputs!A202</f>
        <v>placeholder5 (Anchor-Mines/Timber Mills/Procesors, Bank, etc)</v>
      </c>
      <c r="B8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0" s="256" t="e">
        <f>D$68*Inputs!$G202</f>
        <v>#DIV/0!</v>
      </c>
      <c r="E80" s="256" t="e">
        <f>E$68*Inputs!$G202</f>
        <v>#DIV/0!</v>
      </c>
      <c r="F80" s="256" t="e">
        <f>F$68*Inputs!$G202</f>
        <v>#DIV/0!</v>
      </c>
      <c r="G80" s="256" t="e">
        <f>G$68*Inputs!$G202</f>
        <v>#DIV/0!</v>
      </c>
      <c r="H80" s="256" t="e">
        <f>H$68*Inputs!$G202</f>
        <v>#DIV/0!</v>
      </c>
      <c r="I80" s="256" t="e">
        <f>I$68*Inputs!$G202</f>
        <v>#DIV/0!</v>
      </c>
      <c r="J80" s="256" t="e">
        <f>J$68*Inputs!$G202</f>
        <v>#DIV/0!</v>
      </c>
      <c r="K80" s="256" t="e">
        <f>K$68*Inputs!$G202</f>
        <v>#DIV/0!</v>
      </c>
      <c r="L80" s="256" t="e">
        <f>L$68*Inputs!$G202</f>
        <v>#DIV/0!</v>
      </c>
      <c r="M80" s="256" t="e">
        <f>M$68*Inputs!$G202</f>
        <v>#DIV/0!</v>
      </c>
      <c r="N80" s="256" t="e">
        <f>N$68*Inputs!$G202</f>
        <v>#DIV/0!</v>
      </c>
      <c r="O80" s="256" t="e">
        <f>O$68*Inputs!$G202</f>
        <v>#DIV/0!</v>
      </c>
      <c r="P80" s="256" t="e">
        <f>P$68*Inputs!$G202</f>
        <v>#DIV/0!</v>
      </c>
      <c r="Q80" s="256" t="e">
        <f>Q$68*Inputs!$G202</f>
        <v>#DIV/0!</v>
      </c>
      <c r="R80" s="256" t="e">
        <f>R$68*Inputs!$G202</f>
        <v>#DIV/0!</v>
      </c>
      <c r="S80" s="256" t="e">
        <f>S$68*Inputs!$G202</f>
        <v>#DIV/0!</v>
      </c>
      <c r="T80" s="256" t="e">
        <f>T$68*Inputs!$G202</f>
        <v>#DIV/0!</v>
      </c>
      <c r="U80" s="256" t="e">
        <f>U$68*Inputs!$G202</f>
        <v>#DIV/0!</v>
      </c>
      <c r="V80" s="256" t="e">
        <f>V$68*Inputs!$G202</f>
        <v>#DIV/0!</v>
      </c>
      <c r="W80" s="256" t="e">
        <f>W$68*Inputs!$G202</f>
        <v>#DIV/0!</v>
      </c>
      <c r="X80" s="256" t="e">
        <f>X$68*Inputs!$G202</f>
        <v>#DIV/0!</v>
      </c>
      <c r="Y80" s="256" t="e">
        <f>Y$68*Inputs!$G202</f>
        <v>#DIV/0!</v>
      </c>
      <c r="Z80" s="256" t="e">
        <f>Z$68*Inputs!$G202</f>
        <v>#DIV/0!</v>
      </c>
      <c r="AA80" s="256" t="e">
        <f>AA$68*Inputs!$G202</f>
        <v>#DIV/0!</v>
      </c>
      <c r="AB80" s="261" t="e">
        <f>AB$68*Inputs!$G202</f>
        <v>#DIV/0!</v>
      </c>
    </row>
    <row r="81" spans="1:28" x14ac:dyDescent="0.3">
      <c r="A81" s="345" t="str">
        <f>Inputs!A203</f>
        <v>placeholder6 (Institutions – schools, health centres, admin centres, etc)</v>
      </c>
      <c r="B81"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1" s="256" t="e">
        <f>D$68*Inputs!$G203</f>
        <v>#DIV/0!</v>
      </c>
      <c r="E81" s="256" t="e">
        <f>E$68*Inputs!$G203</f>
        <v>#DIV/0!</v>
      </c>
      <c r="F81" s="256" t="e">
        <f>F$68*Inputs!$G203</f>
        <v>#DIV/0!</v>
      </c>
      <c r="G81" s="256" t="e">
        <f>G$68*Inputs!$G203</f>
        <v>#DIV/0!</v>
      </c>
      <c r="H81" s="256" t="e">
        <f>H$68*Inputs!$G203</f>
        <v>#DIV/0!</v>
      </c>
      <c r="I81" s="256" t="e">
        <f>I$68*Inputs!$G203</f>
        <v>#DIV/0!</v>
      </c>
      <c r="J81" s="256" t="e">
        <f>J$68*Inputs!$G203</f>
        <v>#DIV/0!</v>
      </c>
      <c r="K81" s="256" t="e">
        <f>K$68*Inputs!$G203</f>
        <v>#DIV/0!</v>
      </c>
      <c r="L81" s="256" t="e">
        <f>L$68*Inputs!$G203</f>
        <v>#DIV/0!</v>
      </c>
      <c r="M81" s="256" t="e">
        <f>M$68*Inputs!$G203</f>
        <v>#DIV/0!</v>
      </c>
      <c r="N81" s="256" t="e">
        <f>N$68*Inputs!$G203</f>
        <v>#DIV/0!</v>
      </c>
      <c r="O81" s="256" t="e">
        <f>O$68*Inputs!$G203</f>
        <v>#DIV/0!</v>
      </c>
      <c r="P81" s="256" t="e">
        <f>P$68*Inputs!$G203</f>
        <v>#DIV/0!</v>
      </c>
      <c r="Q81" s="256" t="e">
        <f>Q$68*Inputs!$G203</f>
        <v>#DIV/0!</v>
      </c>
      <c r="R81" s="256" t="e">
        <f>R$68*Inputs!$G203</f>
        <v>#DIV/0!</v>
      </c>
      <c r="S81" s="256" t="e">
        <f>S$68*Inputs!$G203</f>
        <v>#DIV/0!</v>
      </c>
      <c r="T81" s="256" t="e">
        <f>T$68*Inputs!$G203</f>
        <v>#DIV/0!</v>
      </c>
      <c r="U81" s="256" t="e">
        <f>U$68*Inputs!$G203</f>
        <v>#DIV/0!</v>
      </c>
      <c r="V81" s="256" t="e">
        <f>V$68*Inputs!$G203</f>
        <v>#DIV/0!</v>
      </c>
      <c r="W81" s="256" t="e">
        <f>W$68*Inputs!$G203</f>
        <v>#DIV/0!</v>
      </c>
      <c r="X81" s="256" t="e">
        <f>X$68*Inputs!$G203</f>
        <v>#DIV/0!</v>
      </c>
      <c r="Y81" s="256" t="e">
        <f>Y$68*Inputs!$G203</f>
        <v>#DIV/0!</v>
      </c>
      <c r="Z81" s="256" t="e">
        <f>Z$68*Inputs!$G203</f>
        <v>#DIV/0!</v>
      </c>
      <c r="AA81" s="256" t="e">
        <f>AA$68*Inputs!$G203</f>
        <v>#DIV/0!</v>
      </c>
      <c r="AB81" s="261" t="e">
        <f>AB$68*Inputs!$G203</f>
        <v>#DIV/0!</v>
      </c>
    </row>
    <row r="82" spans="1:28" x14ac:dyDescent="0.3">
      <c r="A82" s="346" t="str">
        <f>Inputs!A204</f>
        <v>placeholder7 (Street lighting)</v>
      </c>
      <c r="B82"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82" s="347"/>
      <c r="D82" s="262" t="e">
        <f>D$68*Inputs!$G204</f>
        <v>#DIV/0!</v>
      </c>
      <c r="E82" s="262" t="e">
        <f>E$68*Inputs!$G204</f>
        <v>#DIV/0!</v>
      </c>
      <c r="F82" s="262" t="e">
        <f>F$68*Inputs!$G204</f>
        <v>#DIV/0!</v>
      </c>
      <c r="G82" s="262" t="e">
        <f>G$68*Inputs!$G204</f>
        <v>#DIV/0!</v>
      </c>
      <c r="H82" s="262" t="e">
        <f>H$68*Inputs!$G204</f>
        <v>#DIV/0!</v>
      </c>
      <c r="I82" s="262" t="e">
        <f>I$68*Inputs!$G204</f>
        <v>#DIV/0!</v>
      </c>
      <c r="J82" s="262" t="e">
        <f>J$68*Inputs!$G204</f>
        <v>#DIV/0!</v>
      </c>
      <c r="K82" s="262" t="e">
        <f>K$68*Inputs!$G204</f>
        <v>#DIV/0!</v>
      </c>
      <c r="L82" s="262" t="e">
        <f>L$68*Inputs!$G204</f>
        <v>#DIV/0!</v>
      </c>
      <c r="M82" s="262" t="e">
        <f>M$68*Inputs!$G204</f>
        <v>#DIV/0!</v>
      </c>
      <c r="N82" s="262" t="e">
        <f>N$68*Inputs!$G204</f>
        <v>#DIV/0!</v>
      </c>
      <c r="O82" s="262" t="e">
        <f>O$68*Inputs!$G204</f>
        <v>#DIV/0!</v>
      </c>
      <c r="P82" s="262" t="e">
        <f>P$68*Inputs!$G204</f>
        <v>#DIV/0!</v>
      </c>
      <c r="Q82" s="262" t="e">
        <f>Q$68*Inputs!$G204</f>
        <v>#DIV/0!</v>
      </c>
      <c r="R82" s="262" t="e">
        <f>R$68*Inputs!$G204</f>
        <v>#DIV/0!</v>
      </c>
      <c r="S82" s="262" t="e">
        <f>S$68*Inputs!$G204</f>
        <v>#DIV/0!</v>
      </c>
      <c r="T82" s="262" t="e">
        <f>T$68*Inputs!$G204</f>
        <v>#DIV/0!</v>
      </c>
      <c r="U82" s="262" t="e">
        <f>U$68*Inputs!$G204</f>
        <v>#DIV/0!</v>
      </c>
      <c r="V82" s="262" t="e">
        <f>V$68*Inputs!$G204</f>
        <v>#DIV/0!</v>
      </c>
      <c r="W82" s="262" t="e">
        <f>W$68*Inputs!$G204</f>
        <v>#DIV/0!</v>
      </c>
      <c r="X82" s="262" t="e">
        <f>X$68*Inputs!$G204</f>
        <v>#DIV/0!</v>
      </c>
      <c r="Y82" s="262" t="e">
        <f>Y$68*Inputs!$G204</f>
        <v>#DIV/0!</v>
      </c>
      <c r="Z82" s="262" t="e">
        <f>Z$68*Inputs!$G204</f>
        <v>#DIV/0!</v>
      </c>
      <c r="AA82" s="262" t="e">
        <f>AA$68*Inputs!$G204</f>
        <v>#DIV/0!</v>
      </c>
      <c r="AB82" s="263" t="e">
        <f>AB$68*Inputs!$G204</f>
        <v>#DIV/0!</v>
      </c>
    </row>
    <row r="84" spans="1:28" x14ac:dyDescent="0.3">
      <c r="A84" s="338" t="s">
        <v>256</v>
      </c>
      <c r="B84" s="338"/>
      <c r="C84" s="338"/>
      <c r="D84" s="338"/>
    </row>
    <row r="85" spans="1:28" x14ac:dyDescent="0.3">
      <c r="A85" s="592" t="str">
        <f>Inputs!A198</f>
        <v>placeholder1 (Lifeline)</v>
      </c>
      <c r="B85" s="181" t="s">
        <v>255</v>
      </c>
      <c r="C85" s="181" t="s">
        <v>258</v>
      </c>
      <c r="D85" s="256" t="e">
        <f>D$72*Inputs!$G198</f>
        <v>#DIV/0!</v>
      </c>
      <c r="E85" s="256" t="e">
        <f>E$72*Inputs!$G198</f>
        <v>#DIV/0!</v>
      </c>
      <c r="F85" s="256" t="e">
        <f>F$72*Inputs!$G198</f>
        <v>#DIV/0!</v>
      </c>
      <c r="G85" s="256" t="e">
        <f>G$72*Inputs!$G198</f>
        <v>#DIV/0!</v>
      </c>
      <c r="H85" s="256" t="e">
        <f>H$72*Inputs!$G198</f>
        <v>#DIV/0!</v>
      </c>
      <c r="I85" s="256" t="e">
        <f>I$72*Inputs!$G198</f>
        <v>#DIV/0!</v>
      </c>
      <c r="J85" s="256" t="e">
        <f>J$72*Inputs!$G198</f>
        <v>#DIV/0!</v>
      </c>
      <c r="K85" s="256" t="e">
        <f>K$72*Inputs!$G198</f>
        <v>#DIV/0!</v>
      </c>
      <c r="L85" s="256" t="e">
        <f>L$72*Inputs!$G198</f>
        <v>#DIV/0!</v>
      </c>
      <c r="M85" s="256" t="e">
        <f>M$72*Inputs!$G198</f>
        <v>#DIV/0!</v>
      </c>
      <c r="N85" s="256" t="e">
        <f>N$72*Inputs!$G198</f>
        <v>#DIV/0!</v>
      </c>
      <c r="O85" s="256" t="e">
        <f>O$72*Inputs!$G198</f>
        <v>#DIV/0!</v>
      </c>
      <c r="P85" s="256" t="e">
        <f>P$72*Inputs!$G198</f>
        <v>#DIV/0!</v>
      </c>
      <c r="Q85" s="256" t="e">
        <f>Q$72*Inputs!$G198</f>
        <v>#DIV/0!</v>
      </c>
      <c r="R85" s="256" t="e">
        <f>R$72*Inputs!$G198</f>
        <v>#DIV/0!</v>
      </c>
      <c r="S85" s="256" t="e">
        <f>S$72*Inputs!$G198</f>
        <v>#DIV/0!</v>
      </c>
      <c r="T85" s="256" t="e">
        <f>T$72*Inputs!$G198</f>
        <v>#DIV/0!</v>
      </c>
      <c r="U85" s="256" t="e">
        <f>U$72*Inputs!$G198</f>
        <v>#DIV/0!</v>
      </c>
      <c r="V85" s="256" t="e">
        <f>V$72*Inputs!$G198</f>
        <v>#DIV/0!</v>
      </c>
      <c r="W85" s="256" t="e">
        <f>W$72*Inputs!$G198</f>
        <v>#DIV/0!</v>
      </c>
      <c r="X85" s="256" t="e">
        <f>X$72*Inputs!$G198</f>
        <v>#DIV/0!</v>
      </c>
      <c r="Y85" s="256" t="e">
        <f>Y$72*Inputs!$G198</f>
        <v>#DIV/0!</v>
      </c>
      <c r="Z85" s="256" t="e">
        <f>Z$72*Inputs!$G198</f>
        <v>#DIV/0!</v>
      </c>
      <c r="AA85" s="256" t="e">
        <f>AA$72*Inputs!$G198</f>
        <v>#DIV/0!</v>
      </c>
      <c r="AB85" s="256" t="e">
        <f>AB$72*Inputs!$G198</f>
        <v>#DIV/0!</v>
      </c>
    </row>
    <row r="86" spans="1:28" x14ac:dyDescent="0.3">
      <c r="A86" s="593"/>
      <c r="B86" s="106" t="s">
        <v>259</v>
      </c>
      <c r="C8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6" s="256" t="e">
        <f>D$73*Inputs!$G198</f>
        <v>#DIV/0!</v>
      </c>
      <c r="E86" s="256" t="e">
        <f>E$73*Inputs!$G198</f>
        <v>#DIV/0!</v>
      </c>
      <c r="F86" s="256" t="e">
        <f>F$73*Inputs!$G198</f>
        <v>#DIV/0!</v>
      </c>
      <c r="G86" s="256" t="e">
        <f>G$73*Inputs!$G198</f>
        <v>#DIV/0!</v>
      </c>
      <c r="H86" s="256" t="e">
        <f>H$73*Inputs!$G198</f>
        <v>#DIV/0!</v>
      </c>
      <c r="I86" s="256" t="e">
        <f>I$73*Inputs!$G198</f>
        <v>#DIV/0!</v>
      </c>
      <c r="J86" s="256" t="e">
        <f>J$73*Inputs!$G198</f>
        <v>#DIV/0!</v>
      </c>
      <c r="K86" s="256" t="e">
        <f>K$73*Inputs!$G198</f>
        <v>#DIV/0!</v>
      </c>
      <c r="L86" s="256" t="e">
        <f>L$73*Inputs!$G198</f>
        <v>#DIV/0!</v>
      </c>
      <c r="M86" s="256" t="e">
        <f>M$73*Inputs!$G198</f>
        <v>#DIV/0!</v>
      </c>
      <c r="N86" s="256" t="e">
        <f>N$73*Inputs!$G198</f>
        <v>#DIV/0!</v>
      </c>
      <c r="O86" s="256" t="e">
        <f>O$73*Inputs!$G198</f>
        <v>#DIV/0!</v>
      </c>
      <c r="P86" s="256" t="e">
        <f>P$73*Inputs!$G198</f>
        <v>#DIV/0!</v>
      </c>
      <c r="Q86" s="256" t="e">
        <f>Q$73*Inputs!$G198</f>
        <v>#DIV/0!</v>
      </c>
      <c r="R86" s="256" t="e">
        <f>R$73*Inputs!$G198</f>
        <v>#DIV/0!</v>
      </c>
      <c r="S86" s="256" t="e">
        <f>S$73*Inputs!$G198</f>
        <v>#DIV/0!</v>
      </c>
      <c r="T86" s="256" t="e">
        <f>T$73*Inputs!$G198</f>
        <v>#DIV/0!</v>
      </c>
      <c r="U86" s="256" t="e">
        <f>U$73*Inputs!$G198</f>
        <v>#DIV/0!</v>
      </c>
      <c r="V86" s="256" t="e">
        <f>V$73*Inputs!$G198</f>
        <v>#DIV/0!</v>
      </c>
      <c r="W86" s="256" t="e">
        <f>W$73*Inputs!$G198</f>
        <v>#DIV/0!</v>
      </c>
      <c r="X86" s="256" t="e">
        <f>X$73*Inputs!$G198</f>
        <v>#DIV/0!</v>
      </c>
      <c r="Y86" s="256" t="e">
        <f>Y$73*Inputs!$G198</f>
        <v>#DIV/0!</v>
      </c>
      <c r="Z86" s="256" t="e">
        <f>Z$73*Inputs!$G198</f>
        <v>#DIV/0!</v>
      </c>
      <c r="AA86" s="256" t="e">
        <f>AA$73*Inputs!$G198</f>
        <v>#DIV/0!</v>
      </c>
      <c r="AB86" s="256" t="e">
        <f>AB$73*Inputs!$G198</f>
        <v>#DIV/0!</v>
      </c>
    </row>
    <row r="87" spans="1:28" x14ac:dyDescent="0.3">
      <c r="A87" s="592" t="str">
        <f>Inputs!A199</f>
        <v>placeholder2 (Households)</v>
      </c>
      <c r="B87" s="181" t="s">
        <v>255</v>
      </c>
      <c r="C87" s="181" t="s">
        <v>258</v>
      </c>
      <c r="D87" s="256" t="e">
        <f>D$72*Inputs!$G199</f>
        <v>#DIV/0!</v>
      </c>
      <c r="E87" s="256" t="e">
        <f>E$72*Inputs!$G199</f>
        <v>#DIV/0!</v>
      </c>
      <c r="F87" s="256" t="e">
        <f>F$72*Inputs!$G199</f>
        <v>#DIV/0!</v>
      </c>
      <c r="G87" s="256" t="e">
        <f>G$72*Inputs!$G199</f>
        <v>#DIV/0!</v>
      </c>
      <c r="H87" s="256" t="e">
        <f>H$72*Inputs!$G199</f>
        <v>#DIV/0!</v>
      </c>
      <c r="I87" s="256" t="e">
        <f>I$72*Inputs!$G199</f>
        <v>#DIV/0!</v>
      </c>
      <c r="J87" s="256" t="e">
        <f>J$72*Inputs!$G199</f>
        <v>#DIV/0!</v>
      </c>
      <c r="K87" s="256" t="e">
        <f>K$72*Inputs!$G199</f>
        <v>#DIV/0!</v>
      </c>
      <c r="L87" s="256" t="e">
        <f>L$72*Inputs!$G199</f>
        <v>#DIV/0!</v>
      </c>
      <c r="M87" s="256" t="e">
        <f>M$72*Inputs!$G199</f>
        <v>#DIV/0!</v>
      </c>
      <c r="N87" s="256" t="e">
        <f>N$72*Inputs!$G199</f>
        <v>#DIV/0!</v>
      </c>
      <c r="O87" s="256" t="e">
        <f>O$72*Inputs!$G199</f>
        <v>#DIV/0!</v>
      </c>
      <c r="P87" s="256" t="e">
        <f>P$72*Inputs!$G199</f>
        <v>#DIV/0!</v>
      </c>
      <c r="Q87" s="256" t="e">
        <f>Q$72*Inputs!$G199</f>
        <v>#DIV/0!</v>
      </c>
      <c r="R87" s="256" t="e">
        <f>R$72*Inputs!$G199</f>
        <v>#DIV/0!</v>
      </c>
      <c r="S87" s="256" t="e">
        <f>S$72*Inputs!$G199</f>
        <v>#DIV/0!</v>
      </c>
      <c r="T87" s="256" t="e">
        <f>T$72*Inputs!$G199</f>
        <v>#DIV/0!</v>
      </c>
      <c r="U87" s="256" t="e">
        <f>U$72*Inputs!$G199</f>
        <v>#DIV/0!</v>
      </c>
      <c r="V87" s="256" t="e">
        <f>V$72*Inputs!$G199</f>
        <v>#DIV/0!</v>
      </c>
      <c r="W87" s="256" t="e">
        <f>W$72*Inputs!$G199</f>
        <v>#DIV/0!</v>
      </c>
      <c r="X87" s="256" t="e">
        <f>X$72*Inputs!$G199</f>
        <v>#DIV/0!</v>
      </c>
      <c r="Y87" s="256" t="e">
        <f>Y$72*Inputs!$G199</f>
        <v>#DIV/0!</v>
      </c>
      <c r="Z87" s="256" t="e">
        <f>Z$72*Inputs!$G199</f>
        <v>#DIV/0!</v>
      </c>
      <c r="AA87" s="256" t="e">
        <f>AA$72*Inputs!$G199</f>
        <v>#DIV/0!</v>
      </c>
      <c r="AB87" s="256" t="e">
        <f>AB$72*Inputs!$G199</f>
        <v>#DIV/0!</v>
      </c>
    </row>
    <row r="88" spans="1:28" x14ac:dyDescent="0.3">
      <c r="A88" s="593"/>
      <c r="B88" s="106" t="s">
        <v>259</v>
      </c>
      <c r="C8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8" s="256" t="e">
        <f>D$73*Inputs!$G199</f>
        <v>#DIV/0!</v>
      </c>
      <c r="E88" s="256" t="e">
        <f>E$73*Inputs!$G199</f>
        <v>#DIV/0!</v>
      </c>
      <c r="F88" s="256" t="e">
        <f>F$73*Inputs!$G199</f>
        <v>#DIV/0!</v>
      </c>
      <c r="G88" s="256" t="e">
        <f>G$73*Inputs!$G199</f>
        <v>#DIV/0!</v>
      </c>
      <c r="H88" s="256" t="e">
        <f>H$73*Inputs!$G199</f>
        <v>#DIV/0!</v>
      </c>
      <c r="I88" s="256" t="e">
        <f>I$73*Inputs!$G199</f>
        <v>#DIV/0!</v>
      </c>
      <c r="J88" s="256" t="e">
        <f>J$73*Inputs!$G199</f>
        <v>#DIV/0!</v>
      </c>
      <c r="K88" s="256" t="e">
        <f>K$73*Inputs!$G199</f>
        <v>#DIV/0!</v>
      </c>
      <c r="L88" s="256" t="e">
        <f>L$73*Inputs!$G199</f>
        <v>#DIV/0!</v>
      </c>
      <c r="M88" s="256" t="e">
        <f>M$73*Inputs!$G199</f>
        <v>#DIV/0!</v>
      </c>
      <c r="N88" s="256" t="e">
        <f>N$73*Inputs!$G199</f>
        <v>#DIV/0!</v>
      </c>
      <c r="O88" s="256" t="e">
        <f>O$73*Inputs!$G199</f>
        <v>#DIV/0!</v>
      </c>
      <c r="P88" s="256" t="e">
        <f>P$73*Inputs!$G199</f>
        <v>#DIV/0!</v>
      </c>
      <c r="Q88" s="256" t="e">
        <f>Q$73*Inputs!$G199</f>
        <v>#DIV/0!</v>
      </c>
      <c r="R88" s="256" t="e">
        <f>R$73*Inputs!$G199</f>
        <v>#DIV/0!</v>
      </c>
      <c r="S88" s="256" t="e">
        <f>S$73*Inputs!$G199</f>
        <v>#DIV/0!</v>
      </c>
      <c r="T88" s="256" t="e">
        <f>T$73*Inputs!$G199</f>
        <v>#DIV/0!</v>
      </c>
      <c r="U88" s="256" t="e">
        <f>U$73*Inputs!$G199</f>
        <v>#DIV/0!</v>
      </c>
      <c r="V88" s="256" t="e">
        <f>V$73*Inputs!$G199</f>
        <v>#DIV/0!</v>
      </c>
      <c r="W88" s="256" t="e">
        <f>W$73*Inputs!$G199</f>
        <v>#DIV/0!</v>
      </c>
      <c r="X88" s="256" t="e">
        <f>X$73*Inputs!$G199</f>
        <v>#DIV/0!</v>
      </c>
      <c r="Y88" s="256" t="e">
        <f>Y$73*Inputs!$G199</f>
        <v>#DIV/0!</v>
      </c>
      <c r="Z88" s="256" t="e">
        <f>Z$73*Inputs!$G199</f>
        <v>#DIV/0!</v>
      </c>
      <c r="AA88" s="256" t="e">
        <f>AA$73*Inputs!$G199</f>
        <v>#DIV/0!</v>
      </c>
      <c r="AB88" s="256" t="e">
        <f>AB$73*Inputs!$G199</f>
        <v>#DIV/0!</v>
      </c>
    </row>
    <row r="89" spans="1:28" x14ac:dyDescent="0.3">
      <c r="A89" s="592" t="str">
        <f>Inputs!A200</f>
        <v>placeholder3 (Business basic shops for lighting)</v>
      </c>
      <c r="B89" s="181" t="s">
        <v>255</v>
      </c>
      <c r="C89" s="181" t="s">
        <v>258</v>
      </c>
      <c r="D89" s="256" t="e">
        <f>D$72*Inputs!$G200</f>
        <v>#DIV/0!</v>
      </c>
      <c r="E89" s="256" t="e">
        <f>E$72*Inputs!$G200</f>
        <v>#DIV/0!</v>
      </c>
      <c r="F89" s="256" t="e">
        <f>F$72*Inputs!$G200</f>
        <v>#DIV/0!</v>
      </c>
      <c r="G89" s="256" t="e">
        <f>G$72*Inputs!$G200</f>
        <v>#DIV/0!</v>
      </c>
      <c r="H89" s="256" t="e">
        <f>H$72*Inputs!$G200</f>
        <v>#DIV/0!</v>
      </c>
      <c r="I89" s="256" t="e">
        <f>I$72*Inputs!$G200</f>
        <v>#DIV/0!</v>
      </c>
      <c r="J89" s="256" t="e">
        <f>J$72*Inputs!$G200</f>
        <v>#DIV/0!</v>
      </c>
      <c r="K89" s="256" t="e">
        <f>K$72*Inputs!$G200</f>
        <v>#DIV/0!</v>
      </c>
      <c r="L89" s="256" t="e">
        <f>L$72*Inputs!$G200</f>
        <v>#DIV/0!</v>
      </c>
      <c r="M89" s="256" t="e">
        <f>M$72*Inputs!$G200</f>
        <v>#DIV/0!</v>
      </c>
      <c r="N89" s="256" t="e">
        <f>N$72*Inputs!$G200</f>
        <v>#DIV/0!</v>
      </c>
      <c r="O89" s="256" t="e">
        <f>O$72*Inputs!$G200</f>
        <v>#DIV/0!</v>
      </c>
      <c r="P89" s="256" t="e">
        <f>P$72*Inputs!$G200</f>
        <v>#DIV/0!</v>
      </c>
      <c r="Q89" s="256" t="e">
        <f>Q$72*Inputs!$G200</f>
        <v>#DIV/0!</v>
      </c>
      <c r="R89" s="256" t="e">
        <f>R$72*Inputs!$G200</f>
        <v>#DIV/0!</v>
      </c>
      <c r="S89" s="256" t="e">
        <f>S$72*Inputs!$G200</f>
        <v>#DIV/0!</v>
      </c>
      <c r="T89" s="256" t="e">
        <f>T$72*Inputs!$G200</f>
        <v>#DIV/0!</v>
      </c>
      <c r="U89" s="256" t="e">
        <f>U$72*Inputs!$G200</f>
        <v>#DIV/0!</v>
      </c>
      <c r="V89" s="256" t="e">
        <f>V$72*Inputs!$G200</f>
        <v>#DIV/0!</v>
      </c>
      <c r="W89" s="256" t="e">
        <f>W$72*Inputs!$G200</f>
        <v>#DIV/0!</v>
      </c>
      <c r="X89" s="256" t="e">
        <f>X$72*Inputs!$G200</f>
        <v>#DIV/0!</v>
      </c>
      <c r="Y89" s="256" t="e">
        <f>Y$72*Inputs!$G200</f>
        <v>#DIV/0!</v>
      </c>
      <c r="Z89" s="256" t="e">
        <f>Z$72*Inputs!$G200</f>
        <v>#DIV/0!</v>
      </c>
      <c r="AA89" s="256" t="e">
        <f>AA$72*Inputs!$G200</f>
        <v>#DIV/0!</v>
      </c>
      <c r="AB89" s="256" t="e">
        <f>AB$72*Inputs!$G200</f>
        <v>#DIV/0!</v>
      </c>
    </row>
    <row r="90" spans="1:28" x14ac:dyDescent="0.3">
      <c r="A90" s="593"/>
      <c r="B90" s="106" t="s">
        <v>259</v>
      </c>
      <c r="C9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0" s="256" t="e">
        <f>D$73*Inputs!$G200</f>
        <v>#DIV/0!</v>
      </c>
      <c r="E90" s="256" t="e">
        <f>E$73*Inputs!$G200</f>
        <v>#DIV/0!</v>
      </c>
      <c r="F90" s="256" t="e">
        <f>F$73*Inputs!$G200</f>
        <v>#DIV/0!</v>
      </c>
      <c r="G90" s="256" t="e">
        <f>G$73*Inputs!$G200</f>
        <v>#DIV/0!</v>
      </c>
      <c r="H90" s="256" t="e">
        <f>H$73*Inputs!$G200</f>
        <v>#DIV/0!</v>
      </c>
      <c r="I90" s="256" t="e">
        <f>I$73*Inputs!$G200</f>
        <v>#DIV/0!</v>
      </c>
      <c r="J90" s="256" t="e">
        <f>J$73*Inputs!$G200</f>
        <v>#DIV/0!</v>
      </c>
      <c r="K90" s="256" t="e">
        <f>K$73*Inputs!$G200</f>
        <v>#DIV/0!</v>
      </c>
      <c r="L90" s="256" t="e">
        <f>L$73*Inputs!$G200</f>
        <v>#DIV/0!</v>
      </c>
      <c r="M90" s="256" t="e">
        <f>M$73*Inputs!$G200</f>
        <v>#DIV/0!</v>
      </c>
      <c r="N90" s="256" t="e">
        <f>N$73*Inputs!$G200</f>
        <v>#DIV/0!</v>
      </c>
      <c r="O90" s="256" t="e">
        <f>O$73*Inputs!$G200</f>
        <v>#DIV/0!</v>
      </c>
      <c r="P90" s="256" t="e">
        <f>P$73*Inputs!$G200</f>
        <v>#DIV/0!</v>
      </c>
      <c r="Q90" s="256" t="e">
        <f>Q$73*Inputs!$G200</f>
        <v>#DIV/0!</v>
      </c>
      <c r="R90" s="256" t="e">
        <f>R$73*Inputs!$G200</f>
        <v>#DIV/0!</v>
      </c>
      <c r="S90" s="256" t="e">
        <f>S$73*Inputs!$G200</f>
        <v>#DIV/0!</v>
      </c>
      <c r="T90" s="256" t="e">
        <f>T$73*Inputs!$G200</f>
        <v>#DIV/0!</v>
      </c>
      <c r="U90" s="256" t="e">
        <f>U$73*Inputs!$G200</f>
        <v>#DIV/0!</v>
      </c>
      <c r="V90" s="256" t="e">
        <f>V$73*Inputs!$G200</f>
        <v>#DIV/0!</v>
      </c>
      <c r="W90" s="256" t="e">
        <f>W$73*Inputs!$G200</f>
        <v>#DIV/0!</v>
      </c>
      <c r="X90" s="256" t="e">
        <f>X$73*Inputs!$G200</f>
        <v>#DIV/0!</v>
      </c>
      <c r="Y90" s="256" t="e">
        <f>Y$73*Inputs!$G200</f>
        <v>#DIV/0!</v>
      </c>
      <c r="Z90" s="256" t="e">
        <f>Z$73*Inputs!$G200</f>
        <v>#DIV/0!</v>
      </c>
      <c r="AA90" s="256" t="e">
        <f>AA$73*Inputs!$G200</f>
        <v>#DIV/0!</v>
      </c>
      <c r="AB90" s="256" t="e">
        <f>AB$73*Inputs!$G200</f>
        <v>#DIV/0!</v>
      </c>
    </row>
    <row r="91" spans="1:28" x14ac:dyDescent="0.3">
      <c r="A91" s="592" t="str">
        <f>Inputs!A201</f>
        <v>placeholder4 (Business with appliances like fridges, freezers, etc)</v>
      </c>
      <c r="B91" s="181" t="s">
        <v>255</v>
      </c>
      <c r="C91" s="181" t="s">
        <v>258</v>
      </c>
      <c r="D91" s="256" t="e">
        <f>D$72*Inputs!$G201</f>
        <v>#DIV/0!</v>
      </c>
      <c r="E91" s="256" t="e">
        <f>E$72*Inputs!$G201</f>
        <v>#DIV/0!</v>
      </c>
      <c r="F91" s="256" t="e">
        <f>F$72*Inputs!$G201</f>
        <v>#DIV/0!</v>
      </c>
      <c r="G91" s="256" t="e">
        <f>G$72*Inputs!$G201</f>
        <v>#DIV/0!</v>
      </c>
      <c r="H91" s="256" t="e">
        <f>H$72*Inputs!$G201</f>
        <v>#DIV/0!</v>
      </c>
      <c r="I91" s="256" t="e">
        <f>I$72*Inputs!$G201</f>
        <v>#DIV/0!</v>
      </c>
      <c r="J91" s="256" t="e">
        <f>J$72*Inputs!$G201</f>
        <v>#DIV/0!</v>
      </c>
      <c r="K91" s="256" t="e">
        <f>K$72*Inputs!$G201</f>
        <v>#DIV/0!</v>
      </c>
      <c r="L91" s="256" t="e">
        <f>L$72*Inputs!$G201</f>
        <v>#DIV/0!</v>
      </c>
      <c r="M91" s="256" t="e">
        <f>M$72*Inputs!$G201</f>
        <v>#DIV/0!</v>
      </c>
      <c r="N91" s="256" t="e">
        <f>N$72*Inputs!$G201</f>
        <v>#DIV/0!</v>
      </c>
      <c r="O91" s="256" t="e">
        <f>O$72*Inputs!$G201</f>
        <v>#DIV/0!</v>
      </c>
      <c r="P91" s="256" t="e">
        <f>P$72*Inputs!$G201</f>
        <v>#DIV/0!</v>
      </c>
      <c r="Q91" s="256" t="e">
        <f>Q$72*Inputs!$G201</f>
        <v>#DIV/0!</v>
      </c>
      <c r="R91" s="256" t="e">
        <f>R$72*Inputs!$G201</f>
        <v>#DIV/0!</v>
      </c>
      <c r="S91" s="256" t="e">
        <f>S$72*Inputs!$G201</f>
        <v>#DIV/0!</v>
      </c>
      <c r="T91" s="256" t="e">
        <f>T$72*Inputs!$G201</f>
        <v>#DIV/0!</v>
      </c>
      <c r="U91" s="256" t="e">
        <f>U$72*Inputs!$G201</f>
        <v>#DIV/0!</v>
      </c>
      <c r="V91" s="256" t="e">
        <f>V$72*Inputs!$G201</f>
        <v>#DIV/0!</v>
      </c>
      <c r="W91" s="256" t="e">
        <f>W$72*Inputs!$G201</f>
        <v>#DIV/0!</v>
      </c>
      <c r="X91" s="256" t="e">
        <f>X$72*Inputs!$G201</f>
        <v>#DIV/0!</v>
      </c>
      <c r="Y91" s="256" t="e">
        <f>Y$72*Inputs!$G201</f>
        <v>#DIV/0!</v>
      </c>
      <c r="Z91" s="256" t="e">
        <f>Z$72*Inputs!$G201</f>
        <v>#DIV/0!</v>
      </c>
      <c r="AA91" s="256" t="e">
        <f>AA$72*Inputs!$G201</f>
        <v>#DIV/0!</v>
      </c>
      <c r="AB91" s="256" t="e">
        <f>AB$72*Inputs!$G201</f>
        <v>#DIV/0!</v>
      </c>
    </row>
    <row r="92" spans="1:28" x14ac:dyDescent="0.3">
      <c r="A92" s="593"/>
      <c r="B92" s="106" t="s">
        <v>259</v>
      </c>
      <c r="C92"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2" s="256" t="e">
        <f>D$73*Inputs!$G201</f>
        <v>#DIV/0!</v>
      </c>
      <c r="E92" s="256" t="e">
        <f>E$73*Inputs!$G201</f>
        <v>#DIV/0!</v>
      </c>
      <c r="F92" s="256" t="e">
        <f>F$73*Inputs!$G201</f>
        <v>#DIV/0!</v>
      </c>
      <c r="G92" s="256" t="e">
        <f>G$73*Inputs!$G201</f>
        <v>#DIV/0!</v>
      </c>
      <c r="H92" s="256" t="e">
        <f>H$73*Inputs!$G201</f>
        <v>#DIV/0!</v>
      </c>
      <c r="I92" s="256" t="e">
        <f>I$73*Inputs!$G201</f>
        <v>#DIV/0!</v>
      </c>
      <c r="J92" s="256" t="e">
        <f>J$73*Inputs!$G201</f>
        <v>#DIV/0!</v>
      </c>
      <c r="K92" s="256" t="e">
        <f>K$73*Inputs!$G201</f>
        <v>#DIV/0!</v>
      </c>
      <c r="L92" s="256" t="e">
        <f>L$73*Inputs!$G201</f>
        <v>#DIV/0!</v>
      </c>
      <c r="M92" s="256" t="e">
        <f>M$73*Inputs!$G201</f>
        <v>#DIV/0!</v>
      </c>
      <c r="N92" s="256" t="e">
        <f>N$73*Inputs!$G201</f>
        <v>#DIV/0!</v>
      </c>
      <c r="O92" s="256" t="e">
        <f>O$73*Inputs!$G201</f>
        <v>#DIV/0!</v>
      </c>
      <c r="P92" s="256" t="e">
        <f>P$73*Inputs!$G201</f>
        <v>#DIV/0!</v>
      </c>
      <c r="Q92" s="256" t="e">
        <f>Q$73*Inputs!$G201</f>
        <v>#DIV/0!</v>
      </c>
      <c r="R92" s="256" t="e">
        <f>R$73*Inputs!$G201</f>
        <v>#DIV/0!</v>
      </c>
      <c r="S92" s="256" t="e">
        <f>S$73*Inputs!$G201</f>
        <v>#DIV/0!</v>
      </c>
      <c r="T92" s="256" t="e">
        <f>T$73*Inputs!$G201</f>
        <v>#DIV/0!</v>
      </c>
      <c r="U92" s="256" t="e">
        <f>U$73*Inputs!$G201</f>
        <v>#DIV/0!</v>
      </c>
      <c r="V92" s="256" t="e">
        <f>V$73*Inputs!$G201</f>
        <v>#DIV/0!</v>
      </c>
      <c r="W92" s="256" t="e">
        <f>W$73*Inputs!$G201</f>
        <v>#DIV/0!</v>
      </c>
      <c r="X92" s="256" t="e">
        <f>X$73*Inputs!$G201</f>
        <v>#DIV/0!</v>
      </c>
      <c r="Y92" s="256" t="e">
        <f>Y$73*Inputs!$G201</f>
        <v>#DIV/0!</v>
      </c>
      <c r="Z92" s="256" t="e">
        <f>Z$73*Inputs!$G201</f>
        <v>#DIV/0!</v>
      </c>
      <c r="AA92" s="256" t="e">
        <f>AA$73*Inputs!$G201</f>
        <v>#DIV/0!</v>
      </c>
      <c r="AB92" s="256" t="e">
        <f>AB$73*Inputs!$G201</f>
        <v>#DIV/0!</v>
      </c>
    </row>
    <row r="93" spans="1:28" x14ac:dyDescent="0.3">
      <c r="A93" s="592" t="str">
        <f>Inputs!A202</f>
        <v>placeholder5 (Anchor-Mines/Timber Mills/Procesors, Bank, etc)</v>
      </c>
      <c r="B93" s="181" t="s">
        <v>255</v>
      </c>
      <c r="C93" s="181" t="s">
        <v>258</v>
      </c>
      <c r="D93" s="256" t="e">
        <f>D$72*Inputs!$G202</f>
        <v>#DIV/0!</v>
      </c>
      <c r="E93" s="256" t="e">
        <f>E$72*Inputs!$G202</f>
        <v>#DIV/0!</v>
      </c>
      <c r="F93" s="256" t="e">
        <f>F$72*Inputs!$G202</f>
        <v>#DIV/0!</v>
      </c>
      <c r="G93" s="256" t="e">
        <f>G$72*Inputs!$G202</f>
        <v>#DIV/0!</v>
      </c>
      <c r="H93" s="256" t="e">
        <f>H$72*Inputs!$G202</f>
        <v>#DIV/0!</v>
      </c>
      <c r="I93" s="256" t="e">
        <f>I$72*Inputs!$G202</f>
        <v>#DIV/0!</v>
      </c>
      <c r="J93" s="256" t="e">
        <f>J$72*Inputs!$G202</f>
        <v>#DIV/0!</v>
      </c>
      <c r="K93" s="256" t="e">
        <f>K$72*Inputs!$G202</f>
        <v>#DIV/0!</v>
      </c>
      <c r="L93" s="256" t="e">
        <f>L$72*Inputs!$G202</f>
        <v>#DIV/0!</v>
      </c>
      <c r="M93" s="256" t="e">
        <f>M$72*Inputs!$G202</f>
        <v>#DIV/0!</v>
      </c>
      <c r="N93" s="256" t="e">
        <f>N$72*Inputs!$G202</f>
        <v>#DIV/0!</v>
      </c>
      <c r="O93" s="256" t="e">
        <f>O$72*Inputs!$G202</f>
        <v>#DIV/0!</v>
      </c>
      <c r="P93" s="256" t="e">
        <f>P$72*Inputs!$G202</f>
        <v>#DIV/0!</v>
      </c>
      <c r="Q93" s="256" t="e">
        <f>Q$72*Inputs!$G202</f>
        <v>#DIV/0!</v>
      </c>
      <c r="R93" s="256" t="e">
        <f>R$72*Inputs!$G202</f>
        <v>#DIV/0!</v>
      </c>
      <c r="S93" s="256" t="e">
        <f>S$72*Inputs!$G202</f>
        <v>#DIV/0!</v>
      </c>
      <c r="T93" s="256" t="e">
        <f>T$72*Inputs!$G202</f>
        <v>#DIV/0!</v>
      </c>
      <c r="U93" s="256" t="e">
        <f>U$72*Inputs!$G202</f>
        <v>#DIV/0!</v>
      </c>
      <c r="V93" s="256" t="e">
        <f>V$72*Inputs!$G202</f>
        <v>#DIV/0!</v>
      </c>
      <c r="W93" s="256" t="e">
        <f>W$72*Inputs!$G202</f>
        <v>#DIV/0!</v>
      </c>
      <c r="X93" s="256" t="e">
        <f>X$72*Inputs!$G202</f>
        <v>#DIV/0!</v>
      </c>
      <c r="Y93" s="256" t="e">
        <f>Y$72*Inputs!$G202</f>
        <v>#DIV/0!</v>
      </c>
      <c r="Z93" s="256" t="e">
        <f>Z$72*Inputs!$G202</f>
        <v>#DIV/0!</v>
      </c>
      <c r="AA93" s="256" t="e">
        <f>AA$72*Inputs!$G202</f>
        <v>#DIV/0!</v>
      </c>
      <c r="AB93" s="256" t="e">
        <f>AB$72*Inputs!$G202</f>
        <v>#DIV/0!</v>
      </c>
    </row>
    <row r="94" spans="1:28" x14ac:dyDescent="0.3">
      <c r="A94" s="593"/>
      <c r="B94" s="106" t="s">
        <v>259</v>
      </c>
      <c r="C94"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4" s="256" t="e">
        <f>D$73*Inputs!$G202</f>
        <v>#DIV/0!</v>
      </c>
      <c r="E94" s="256" t="e">
        <f>E$73*Inputs!$G202</f>
        <v>#DIV/0!</v>
      </c>
      <c r="F94" s="256" t="e">
        <f>F$73*Inputs!$G202</f>
        <v>#DIV/0!</v>
      </c>
      <c r="G94" s="256" t="e">
        <f>G$73*Inputs!$G202</f>
        <v>#DIV/0!</v>
      </c>
      <c r="H94" s="256" t="e">
        <f>H$73*Inputs!$G202</f>
        <v>#DIV/0!</v>
      </c>
      <c r="I94" s="256" t="e">
        <f>I$73*Inputs!$G202</f>
        <v>#DIV/0!</v>
      </c>
      <c r="J94" s="256" t="e">
        <f>J$73*Inputs!$G202</f>
        <v>#DIV/0!</v>
      </c>
      <c r="K94" s="256" t="e">
        <f>K$73*Inputs!$G202</f>
        <v>#DIV/0!</v>
      </c>
      <c r="L94" s="256" t="e">
        <f>L$73*Inputs!$G202</f>
        <v>#DIV/0!</v>
      </c>
      <c r="M94" s="256" t="e">
        <f>M$73*Inputs!$G202</f>
        <v>#DIV/0!</v>
      </c>
      <c r="N94" s="256" t="e">
        <f>N$73*Inputs!$G202</f>
        <v>#DIV/0!</v>
      </c>
      <c r="O94" s="256" t="e">
        <f>O$73*Inputs!$G202</f>
        <v>#DIV/0!</v>
      </c>
      <c r="P94" s="256" t="e">
        <f>P$73*Inputs!$G202</f>
        <v>#DIV/0!</v>
      </c>
      <c r="Q94" s="256" t="e">
        <f>Q$73*Inputs!$G202</f>
        <v>#DIV/0!</v>
      </c>
      <c r="R94" s="256" t="e">
        <f>R$73*Inputs!$G202</f>
        <v>#DIV/0!</v>
      </c>
      <c r="S94" s="256" t="e">
        <f>S$73*Inputs!$G202</f>
        <v>#DIV/0!</v>
      </c>
      <c r="T94" s="256" t="e">
        <f>T$73*Inputs!$G202</f>
        <v>#DIV/0!</v>
      </c>
      <c r="U94" s="256" t="e">
        <f>U$73*Inputs!$G202</f>
        <v>#DIV/0!</v>
      </c>
      <c r="V94" s="256" t="e">
        <f>V$73*Inputs!$G202</f>
        <v>#DIV/0!</v>
      </c>
      <c r="W94" s="256" t="e">
        <f>W$73*Inputs!$G202</f>
        <v>#DIV/0!</v>
      </c>
      <c r="X94" s="256" t="e">
        <f>X$73*Inputs!$G202</f>
        <v>#DIV/0!</v>
      </c>
      <c r="Y94" s="256" t="e">
        <f>Y$73*Inputs!$G202</f>
        <v>#DIV/0!</v>
      </c>
      <c r="Z94" s="256" t="e">
        <f>Z$73*Inputs!$G202</f>
        <v>#DIV/0!</v>
      </c>
      <c r="AA94" s="256" t="e">
        <f>AA$73*Inputs!$G202</f>
        <v>#DIV/0!</v>
      </c>
      <c r="AB94" s="256" t="e">
        <f>AB$73*Inputs!$G202</f>
        <v>#DIV/0!</v>
      </c>
    </row>
    <row r="95" spans="1:28" x14ac:dyDescent="0.3">
      <c r="A95" s="592" t="str">
        <f>Inputs!A203</f>
        <v>placeholder6 (Institutions – schools, health centres, admin centres, etc)</v>
      </c>
      <c r="B95" s="181" t="s">
        <v>255</v>
      </c>
      <c r="C95" s="181" t="s">
        <v>258</v>
      </c>
      <c r="D95" s="256" t="e">
        <f>D$72*Inputs!$G203</f>
        <v>#DIV/0!</v>
      </c>
      <c r="E95" s="256" t="e">
        <f>E$72*Inputs!$G203</f>
        <v>#DIV/0!</v>
      </c>
      <c r="F95" s="256" t="e">
        <f>F$72*Inputs!$G203</f>
        <v>#DIV/0!</v>
      </c>
      <c r="G95" s="256" t="e">
        <f>G$72*Inputs!$G203</f>
        <v>#DIV/0!</v>
      </c>
      <c r="H95" s="256" t="e">
        <f>H$72*Inputs!$G203</f>
        <v>#DIV/0!</v>
      </c>
      <c r="I95" s="256" t="e">
        <f>I$72*Inputs!$G203</f>
        <v>#DIV/0!</v>
      </c>
      <c r="J95" s="256" t="e">
        <f>J$72*Inputs!$G203</f>
        <v>#DIV/0!</v>
      </c>
      <c r="K95" s="256" t="e">
        <f>K$72*Inputs!$G203</f>
        <v>#DIV/0!</v>
      </c>
      <c r="L95" s="256" t="e">
        <f>L$72*Inputs!$G203</f>
        <v>#DIV/0!</v>
      </c>
      <c r="M95" s="256" t="e">
        <f>M$72*Inputs!$G203</f>
        <v>#DIV/0!</v>
      </c>
      <c r="N95" s="256" t="e">
        <f>N$72*Inputs!$G203</f>
        <v>#DIV/0!</v>
      </c>
      <c r="O95" s="256" t="e">
        <f>O$72*Inputs!$G203</f>
        <v>#DIV/0!</v>
      </c>
      <c r="P95" s="256" t="e">
        <f>P$72*Inputs!$G203</f>
        <v>#DIV/0!</v>
      </c>
      <c r="Q95" s="256" t="e">
        <f>Q$72*Inputs!$G203</f>
        <v>#DIV/0!</v>
      </c>
      <c r="R95" s="256" t="e">
        <f>R$72*Inputs!$G203</f>
        <v>#DIV/0!</v>
      </c>
      <c r="S95" s="256" t="e">
        <f>S$72*Inputs!$G203</f>
        <v>#DIV/0!</v>
      </c>
      <c r="T95" s="256" t="e">
        <f>T$72*Inputs!$G203</f>
        <v>#DIV/0!</v>
      </c>
      <c r="U95" s="256" t="e">
        <f>U$72*Inputs!$G203</f>
        <v>#DIV/0!</v>
      </c>
      <c r="V95" s="256" t="e">
        <f>V$72*Inputs!$G203</f>
        <v>#DIV/0!</v>
      </c>
      <c r="W95" s="256" t="e">
        <f>W$72*Inputs!$G203</f>
        <v>#DIV/0!</v>
      </c>
      <c r="X95" s="256" t="e">
        <f>X$72*Inputs!$G203</f>
        <v>#DIV/0!</v>
      </c>
      <c r="Y95" s="256" t="e">
        <f>Y$72*Inputs!$G203</f>
        <v>#DIV/0!</v>
      </c>
      <c r="Z95" s="256" t="e">
        <f>Z$72*Inputs!$G203</f>
        <v>#DIV/0!</v>
      </c>
      <c r="AA95" s="256" t="e">
        <f>AA$72*Inputs!$G203</f>
        <v>#DIV/0!</v>
      </c>
      <c r="AB95" s="256" t="e">
        <f>AB$72*Inputs!$G203</f>
        <v>#DIV/0!</v>
      </c>
    </row>
    <row r="96" spans="1:28" x14ac:dyDescent="0.3">
      <c r="A96" s="593"/>
      <c r="B96" s="106" t="s">
        <v>259</v>
      </c>
      <c r="C9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6" s="256" t="e">
        <f>D$73*Inputs!$G203</f>
        <v>#DIV/0!</v>
      </c>
      <c r="E96" s="256" t="e">
        <f>E$73*Inputs!$G203</f>
        <v>#DIV/0!</v>
      </c>
      <c r="F96" s="256" t="e">
        <f>F$73*Inputs!$G203</f>
        <v>#DIV/0!</v>
      </c>
      <c r="G96" s="256" t="e">
        <f>G$73*Inputs!$G203</f>
        <v>#DIV/0!</v>
      </c>
      <c r="H96" s="256" t="e">
        <f>H$73*Inputs!$G203</f>
        <v>#DIV/0!</v>
      </c>
      <c r="I96" s="256" t="e">
        <f>I$73*Inputs!$G203</f>
        <v>#DIV/0!</v>
      </c>
      <c r="J96" s="256" t="e">
        <f>J$73*Inputs!$G203</f>
        <v>#DIV/0!</v>
      </c>
      <c r="K96" s="256" t="e">
        <f>K$73*Inputs!$G203</f>
        <v>#DIV/0!</v>
      </c>
      <c r="L96" s="256" t="e">
        <f>L$73*Inputs!$G203</f>
        <v>#DIV/0!</v>
      </c>
      <c r="M96" s="256" t="e">
        <f>M$73*Inputs!$G203</f>
        <v>#DIV/0!</v>
      </c>
      <c r="N96" s="256" t="e">
        <f>N$73*Inputs!$G203</f>
        <v>#DIV/0!</v>
      </c>
      <c r="O96" s="256" t="e">
        <f>O$73*Inputs!$G203</f>
        <v>#DIV/0!</v>
      </c>
      <c r="P96" s="256" t="e">
        <f>P$73*Inputs!$G203</f>
        <v>#DIV/0!</v>
      </c>
      <c r="Q96" s="256" t="e">
        <f>Q$73*Inputs!$G203</f>
        <v>#DIV/0!</v>
      </c>
      <c r="R96" s="256" t="e">
        <f>R$73*Inputs!$G203</f>
        <v>#DIV/0!</v>
      </c>
      <c r="S96" s="256" t="e">
        <f>S$73*Inputs!$G203</f>
        <v>#DIV/0!</v>
      </c>
      <c r="T96" s="256" t="e">
        <f>T$73*Inputs!$G203</f>
        <v>#DIV/0!</v>
      </c>
      <c r="U96" s="256" t="e">
        <f>U$73*Inputs!$G203</f>
        <v>#DIV/0!</v>
      </c>
      <c r="V96" s="256" t="e">
        <f>V$73*Inputs!$G203</f>
        <v>#DIV/0!</v>
      </c>
      <c r="W96" s="256" t="e">
        <f>W$73*Inputs!$G203</f>
        <v>#DIV/0!</v>
      </c>
      <c r="X96" s="256" t="e">
        <f>X$73*Inputs!$G203</f>
        <v>#DIV/0!</v>
      </c>
      <c r="Y96" s="256" t="e">
        <f>Y$73*Inputs!$G203</f>
        <v>#DIV/0!</v>
      </c>
      <c r="Z96" s="256" t="e">
        <f>Z$73*Inputs!$G203</f>
        <v>#DIV/0!</v>
      </c>
      <c r="AA96" s="256" t="e">
        <f>AA$73*Inputs!$G203</f>
        <v>#DIV/0!</v>
      </c>
      <c r="AB96" s="256" t="e">
        <f>AB$73*Inputs!$G203</f>
        <v>#DIV/0!</v>
      </c>
    </row>
    <row r="97" spans="1:117" x14ac:dyDescent="0.3">
      <c r="A97" s="592" t="str">
        <f>Inputs!A204</f>
        <v>placeholder7 (Street lighting)</v>
      </c>
      <c r="B97" s="181" t="s">
        <v>255</v>
      </c>
      <c r="C97" s="181" t="s">
        <v>258</v>
      </c>
      <c r="D97" s="256" t="e">
        <f>D$72*Inputs!$G204</f>
        <v>#DIV/0!</v>
      </c>
      <c r="E97" s="256" t="e">
        <f>E$72*Inputs!$G204</f>
        <v>#DIV/0!</v>
      </c>
      <c r="F97" s="256" t="e">
        <f>F$72*Inputs!$G204</f>
        <v>#DIV/0!</v>
      </c>
      <c r="G97" s="256" t="e">
        <f>G$72*Inputs!$G204</f>
        <v>#DIV/0!</v>
      </c>
      <c r="H97" s="256" t="e">
        <f>H$72*Inputs!$G204</f>
        <v>#DIV/0!</v>
      </c>
      <c r="I97" s="256" t="e">
        <f>I$72*Inputs!$G204</f>
        <v>#DIV/0!</v>
      </c>
      <c r="J97" s="256" t="e">
        <f>J$72*Inputs!$G204</f>
        <v>#DIV/0!</v>
      </c>
      <c r="K97" s="256" t="e">
        <f>K$72*Inputs!$G204</f>
        <v>#DIV/0!</v>
      </c>
      <c r="L97" s="256" t="e">
        <f>L$72*Inputs!$G204</f>
        <v>#DIV/0!</v>
      </c>
      <c r="M97" s="256" t="e">
        <f>M$72*Inputs!$G204</f>
        <v>#DIV/0!</v>
      </c>
      <c r="N97" s="256" t="e">
        <f>N$72*Inputs!$G204</f>
        <v>#DIV/0!</v>
      </c>
      <c r="O97" s="256" t="e">
        <f>O$72*Inputs!$G204</f>
        <v>#DIV/0!</v>
      </c>
      <c r="P97" s="256" t="e">
        <f>P$72*Inputs!$G204</f>
        <v>#DIV/0!</v>
      </c>
      <c r="Q97" s="256" t="e">
        <f>Q$72*Inputs!$G204</f>
        <v>#DIV/0!</v>
      </c>
      <c r="R97" s="256" t="e">
        <f>R$72*Inputs!$G204</f>
        <v>#DIV/0!</v>
      </c>
      <c r="S97" s="256" t="e">
        <f>S$72*Inputs!$G204</f>
        <v>#DIV/0!</v>
      </c>
      <c r="T97" s="256" t="e">
        <f>T$72*Inputs!$G204</f>
        <v>#DIV/0!</v>
      </c>
      <c r="U97" s="256" t="e">
        <f>U$72*Inputs!$G204</f>
        <v>#DIV/0!</v>
      </c>
      <c r="V97" s="256" t="e">
        <f>V$72*Inputs!$G204</f>
        <v>#DIV/0!</v>
      </c>
      <c r="W97" s="256" t="e">
        <f>W$72*Inputs!$G204</f>
        <v>#DIV/0!</v>
      </c>
      <c r="X97" s="256" t="e">
        <f>X$72*Inputs!$G204</f>
        <v>#DIV/0!</v>
      </c>
      <c r="Y97" s="256" t="e">
        <f>Y$72*Inputs!$G204</f>
        <v>#DIV/0!</v>
      </c>
      <c r="Z97" s="256" t="e">
        <f>Z$72*Inputs!$G204</f>
        <v>#DIV/0!</v>
      </c>
      <c r="AA97" s="256" t="e">
        <f>AA$72*Inputs!$G204</f>
        <v>#DIV/0!</v>
      </c>
      <c r="AB97" s="256" t="e">
        <f>AB$72*Inputs!$G204</f>
        <v>#DIV/0!</v>
      </c>
    </row>
    <row r="98" spans="1:117" x14ac:dyDescent="0.3">
      <c r="A98" s="593"/>
      <c r="B98" s="106" t="s">
        <v>259</v>
      </c>
      <c r="C9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8" s="256" t="e">
        <f>D$73*Inputs!$G204</f>
        <v>#DIV/0!</v>
      </c>
      <c r="E98" s="256" t="e">
        <f>E$73*Inputs!$G204</f>
        <v>#DIV/0!</v>
      </c>
      <c r="F98" s="256" t="e">
        <f>F$73*Inputs!$G204</f>
        <v>#DIV/0!</v>
      </c>
      <c r="G98" s="256" t="e">
        <f>G$73*Inputs!$G204</f>
        <v>#DIV/0!</v>
      </c>
      <c r="H98" s="256" t="e">
        <f>H$73*Inputs!$G204</f>
        <v>#DIV/0!</v>
      </c>
      <c r="I98" s="256" t="e">
        <f>I$73*Inputs!$G204</f>
        <v>#DIV/0!</v>
      </c>
      <c r="J98" s="256" t="e">
        <f>J$73*Inputs!$G204</f>
        <v>#DIV/0!</v>
      </c>
      <c r="K98" s="256" t="e">
        <f>K$73*Inputs!$G204</f>
        <v>#DIV/0!</v>
      </c>
      <c r="L98" s="256" t="e">
        <f>L$73*Inputs!$G204</f>
        <v>#DIV/0!</v>
      </c>
      <c r="M98" s="256" t="e">
        <f>M$73*Inputs!$G204</f>
        <v>#DIV/0!</v>
      </c>
      <c r="N98" s="256" t="e">
        <f>N$73*Inputs!$G204</f>
        <v>#DIV/0!</v>
      </c>
      <c r="O98" s="256" t="e">
        <f>O$73*Inputs!$G204</f>
        <v>#DIV/0!</v>
      </c>
      <c r="P98" s="256" t="e">
        <f>P$73*Inputs!$G204</f>
        <v>#DIV/0!</v>
      </c>
      <c r="Q98" s="256" t="e">
        <f>Q$73*Inputs!$G204</f>
        <v>#DIV/0!</v>
      </c>
      <c r="R98" s="256" t="e">
        <f>R$73*Inputs!$G204</f>
        <v>#DIV/0!</v>
      </c>
      <c r="S98" s="256" t="e">
        <f>S$73*Inputs!$G204</f>
        <v>#DIV/0!</v>
      </c>
      <c r="T98" s="256" t="e">
        <f>T$73*Inputs!$G204</f>
        <v>#DIV/0!</v>
      </c>
      <c r="U98" s="256" t="e">
        <f>U$73*Inputs!$G204</f>
        <v>#DIV/0!</v>
      </c>
      <c r="V98" s="256" t="e">
        <f>V$73*Inputs!$G204</f>
        <v>#DIV/0!</v>
      </c>
      <c r="W98" s="256" t="e">
        <f>W$73*Inputs!$G204</f>
        <v>#DIV/0!</v>
      </c>
      <c r="X98" s="256" t="e">
        <f>X$73*Inputs!$G204</f>
        <v>#DIV/0!</v>
      </c>
      <c r="Y98" s="256" t="e">
        <f>Y$73*Inputs!$G204</f>
        <v>#DIV/0!</v>
      </c>
      <c r="Z98" s="256" t="e">
        <f>Z$73*Inputs!$G204</f>
        <v>#DIV/0!</v>
      </c>
      <c r="AA98" s="256" t="e">
        <f>AA$73*Inputs!$G204</f>
        <v>#DIV/0!</v>
      </c>
      <c r="AB98" s="256" t="e">
        <f>AB$73*Inputs!$G204</f>
        <v>#DIV/0!</v>
      </c>
    </row>
    <row r="99" spans="1:117" x14ac:dyDescent="0.3">
      <c r="A99" s="346"/>
      <c r="B99" s="340"/>
      <c r="C99" s="347"/>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9"/>
    </row>
    <row r="100" spans="1:117" s="163" customFormat="1" x14ac:dyDescent="0.3">
      <c r="A100" s="338" t="s">
        <v>357</v>
      </c>
      <c r="B100"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100" s="337"/>
      <c r="D100" s="254" t="e">
        <f>D66</f>
        <v>#DIV/0!</v>
      </c>
      <c r="E100" s="254" t="e">
        <f>D100*(1+Inputs!$C$214)</f>
        <v>#DIV/0!</v>
      </c>
      <c r="F100" s="254" t="e">
        <f>E100*(1+Inputs!$C$214)</f>
        <v>#DIV/0!</v>
      </c>
      <c r="G100" s="254" t="e">
        <f>F100*(1+Inputs!$C$214)</f>
        <v>#DIV/0!</v>
      </c>
      <c r="H100" s="254" t="e">
        <f>G100*(1+Inputs!$C$214)</f>
        <v>#DIV/0!</v>
      </c>
      <c r="I100" s="254" t="e">
        <f>H100*(1+Inputs!$C$214)</f>
        <v>#DIV/0!</v>
      </c>
      <c r="J100" s="254" t="e">
        <f>I100*(1+Inputs!$C$214)</f>
        <v>#DIV/0!</v>
      </c>
      <c r="K100" s="254" t="e">
        <f>J100*(1+Inputs!$C$214)</f>
        <v>#DIV/0!</v>
      </c>
      <c r="L100" s="254" t="e">
        <f>K100*(1+Inputs!$C$214)</f>
        <v>#DIV/0!</v>
      </c>
      <c r="M100" s="254" t="e">
        <f>L100*(1+Inputs!$C$214)</f>
        <v>#DIV/0!</v>
      </c>
      <c r="N100" s="254" t="e">
        <f>M100*(1+Inputs!$C$214)</f>
        <v>#DIV/0!</v>
      </c>
      <c r="O100" s="254" t="e">
        <f>N100*(1+Inputs!$C$214)</f>
        <v>#DIV/0!</v>
      </c>
      <c r="P100" s="254" t="e">
        <f>O100*(1+Inputs!$C$214)</f>
        <v>#DIV/0!</v>
      </c>
      <c r="Q100" s="254" t="e">
        <f>P100*(1+Inputs!$C$214)</f>
        <v>#DIV/0!</v>
      </c>
      <c r="R100" s="254" t="e">
        <f>Q100*(1+Inputs!$C$214)</f>
        <v>#DIV/0!</v>
      </c>
      <c r="S100" s="254" t="e">
        <f>R100*(1+Inputs!$C$214)</f>
        <v>#DIV/0!</v>
      </c>
      <c r="T100" s="254" t="e">
        <f>S100*(1+Inputs!$C$214)</f>
        <v>#DIV/0!</v>
      </c>
      <c r="U100" s="254" t="e">
        <f>T100*(1+Inputs!$C$214)</f>
        <v>#DIV/0!</v>
      </c>
      <c r="V100" s="254" t="e">
        <f>U100*(1+Inputs!$C$214)</f>
        <v>#DIV/0!</v>
      </c>
      <c r="W100" s="254" t="e">
        <f>V100*(1+Inputs!$C$214)</f>
        <v>#DIV/0!</v>
      </c>
      <c r="X100" s="254" t="e">
        <f>W100*(1+Inputs!$C$214)</f>
        <v>#DIV/0!</v>
      </c>
      <c r="Y100" s="254" t="e">
        <f>X100*(1+Inputs!$C$214)</f>
        <v>#DIV/0!</v>
      </c>
      <c r="Z100" s="254" t="e">
        <f>Y100*(1+Inputs!$C$214)</f>
        <v>#DIV/0!</v>
      </c>
      <c r="AA100" s="254" t="e">
        <f>Z100*(1+Inputs!$C$214)</f>
        <v>#DIV/0!</v>
      </c>
      <c r="AB100" s="255" t="e">
        <f>AA100*(1+Inputs!$C$214)</f>
        <v>#DIV/0!</v>
      </c>
    </row>
    <row r="101" spans="1:117" s="163" customFormat="1" x14ac:dyDescent="0.3">
      <c r="B101" s="106"/>
    </row>
    <row r="102" spans="1:117" x14ac:dyDescent="0.3">
      <c r="A102" s="338" t="s">
        <v>253</v>
      </c>
      <c r="B102" s="350"/>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0"/>
      <c r="Z102" s="350"/>
      <c r="AA102" s="350"/>
      <c r="AB102" s="351"/>
    </row>
    <row r="103" spans="1:117" s="163" customFormat="1" x14ac:dyDescent="0.3">
      <c r="B103" s="106"/>
    </row>
    <row r="104" spans="1:117" x14ac:dyDescent="0.3">
      <c r="A104" s="338" t="s">
        <v>285</v>
      </c>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1"/>
    </row>
    <row r="106" spans="1:117" x14ac:dyDescent="0.3">
      <c r="A106" s="338" t="s">
        <v>254</v>
      </c>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1"/>
    </row>
    <row r="108" spans="1:117" x14ac:dyDescent="0.3">
      <c r="A108" s="293" t="s">
        <v>404</v>
      </c>
    </row>
    <row r="109" spans="1:117" s="61" customFormat="1" x14ac:dyDescent="0.3">
      <c r="A109" s="57"/>
      <c r="C109" s="155" t="s">
        <v>150</v>
      </c>
      <c r="D109" s="156">
        <v>1</v>
      </c>
      <c r="E109" s="156">
        <f>D109+1</f>
        <v>2</v>
      </c>
      <c r="F109" s="156">
        <f t="shared" ref="F109" si="80">E109+1</f>
        <v>3</v>
      </c>
      <c r="G109" s="156">
        <f t="shared" ref="G109" si="81">F109+1</f>
        <v>4</v>
      </c>
      <c r="H109" s="156">
        <f t="shared" ref="H109" si="82">G109+1</f>
        <v>5</v>
      </c>
      <c r="I109" s="156">
        <f t="shared" ref="I109" si="83">H109+1</f>
        <v>6</v>
      </c>
      <c r="J109" s="156">
        <f t="shared" ref="J109" si="84">I109+1</f>
        <v>7</v>
      </c>
      <c r="K109" s="156">
        <f t="shared" ref="K109" si="85">J109+1</f>
        <v>8</v>
      </c>
      <c r="L109" s="156">
        <f t="shared" ref="L109" si="86">K109+1</f>
        <v>9</v>
      </c>
      <c r="M109" s="156">
        <f t="shared" ref="M109" si="87">L109+1</f>
        <v>10</v>
      </c>
      <c r="N109" s="156">
        <f t="shared" ref="N109" si="88">M109+1</f>
        <v>11</v>
      </c>
      <c r="O109" s="156">
        <f t="shared" ref="O109" si="89">N109+1</f>
        <v>12</v>
      </c>
      <c r="P109" s="156">
        <f t="shared" ref="P109" si="90">O109+1</f>
        <v>13</v>
      </c>
      <c r="Q109" s="156">
        <f t="shared" ref="Q109" si="91">P109+1</f>
        <v>14</v>
      </c>
      <c r="R109" s="156">
        <f t="shared" ref="R109" si="92">Q109+1</f>
        <v>15</v>
      </c>
      <c r="S109" s="156">
        <f t="shared" ref="S109" si="93">R109+1</f>
        <v>16</v>
      </c>
      <c r="T109" s="156">
        <f t="shared" ref="T109" si="94">S109+1</f>
        <v>17</v>
      </c>
      <c r="U109" s="156">
        <f t="shared" ref="U109" si="95">T109+1</f>
        <v>18</v>
      </c>
      <c r="V109" s="156">
        <f t="shared" ref="V109" si="96">U109+1</f>
        <v>19</v>
      </c>
      <c r="W109" s="156">
        <f t="shared" ref="W109" si="97">V109+1</f>
        <v>20</v>
      </c>
      <c r="X109" s="156">
        <f t="shared" ref="X109" si="98">W109+1</f>
        <v>21</v>
      </c>
      <c r="Y109" s="156">
        <f t="shared" ref="Y109" si="99">X109+1</f>
        <v>22</v>
      </c>
      <c r="Z109" s="156">
        <f t="shared" ref="Z109" si="100">Y109+1</f>
        <v>23</v>
      </c>
      <c r="AA109" s="156">
        <f t="shared" ref="AA109" si="101">Z109+1</f>
        <v>24</v>
      </c>
      <c r="AB109" s="156">
        <f t="shared" ref="AB109" si="102">AA109+1</f>
        <v>25</v>
      </c>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7"/>
      <c r="DF109" s="157"/>
      <c r="DG109" s="157"/>
      <c r="DH109" s="157"/>
      <c r="DI109" s="157"/>
      <c r="DJ109" s="157"/>
      <c r="DK109" s="157"/>
      <c r="DL109" s="157"/>
      <c r="DM109" s="157"/>
    </row>
    <row r="110" spans="1:117" s="157" customFormat="1" ht="13.8" x14ac:dyDescent="0.3">
      <c r="A110" s="352" t="s">
        <v>400</v>
      </c>
      <c r="B110" s="352"/>
      <c r="C110" s="352"/>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row>
    <row r="111" spans="1:117" s="114" customFormat="1" ht="13.8" x14ac:dyDescent="0.3">
      <c r="A111" s="353" t="s">
        <v>284</v>
      </c>
      <c r="B111" s="354"/>
      <c r="C111" s="233"/>
      <c r="D111" s="233" t="e">
        <f t="shared" ref="D111:AB111" si="103">D37</f>
        <v>#DIV/0!</v>
      </c>
      <c r="E111" s="233" t="e">
        <f t="shared" si="103"/>
        <v>#DIV/0!</v>
      </c>
      <c r="F111" s="233" t="e">
        <f t="shared" si="103"/>
        <v>#DIV/0!</v>
      </c>
      <c r="G111" s="233" t="e">
        <f t="shared" si="103"/>
        <v>#DIV/0!</v>
      </c>
      <c r="H111" s="233" t="e">
        <f t="shared" si="103"/>
        <v>#DIV/0!</v>
      </c>
      <c r="I111" s="233" t="e">
        <f t="shared" si="103"/>
        <v>#DIV/0!</v>
      </c>
      <c r="J111" s="233" t="e">
        <f t="shared" si="103"/>
        <v>#DIV/0!</v>
      </c>
      <c r="K111" s="233" t="e">
        <f t="shared" si="103"/>
        <v>#DIV/0!</v>
      </c>
      <c r="L111" s="233" t="e">
        <f t="shared" si="103"/>
        <v>#DIV/0!</v>
      </c>
      <c r="M111" s="233" t="e">
        <f t="shared" si="103"/>
        <v>#DIV/0!</v>
      </c>
      <c r="N111" s="233" t="e">
        <f t="shared" si="103"/>
        <v>#DIV/0!</v>
      </c>
      <c r="O111" s="233" t="e">
        <f t="shared" si="103"/>
        <v>#DIV/0!</v>
      </c>
      <c r="P111" s="233" t="e">
        <f t="shared" si="103"/>
        <v>#DIV/0!</v>
      </c>
      <c r="Q111" s="233" t="e">
        <f t="shared" si="103"/>
        <v>#DIV/0!</v>
      </c>
      <c r="R111" s="233" t="e">
        <f t="shared" si="103"/>
        <v>#DIV/0!</v>
      </c>
      <c r="S111" s="233" t="e">
        <f t="shared" si="103"/>
        <v>#DIV/0!</v>
      </c>
      <c r="T111" s="233" t="e">
        <f t="shared" si="103"/>
        <v>#DIV/0!</v>
      </c>
      <c r="U111" s="233" t="e">
        <f t="shared" si="103"/>
        <v>#DIV/0!</v>
      </c>
      <c r="V111" s="233" t="e">
        <f t="shared" si="103"/>
        <v>#DIV/0!</v>
      </c>
      <c r="W111" s="233" t="e">
        <f t="shared" si="103"/>
        <v>#DIV/0!</v>
      </c>
      <c r="X111" s="233" t="e">
        <f t="shared" si="103"/>
        <v>#DIV/0!</v>
      </c>
      <c r="Y111" s="233" t="e">
        <f t="shared" si="103"/>
        <v>#DIV/0!</v>
      </c>
      <c r="Z111" s="233" t="e">
        <f t="shared" si="103"/>
        <v>#DIV/0!</v>
      </c>
      <c r="AA111" s="233" t="e">
        <f t="shared" si="103"/>
        <v>#DIV/0!</v>
      </c>
      <c r="AB111" s="233" t="e">
        <f t="shared" si="103"/>
        <v>#DIV/0!</v>
      </c>
    </row>
    <row r="112" spans="1:117" s="114" customFormat="1" ht="13.8" x14ac:dyDescent="0.3">
      <c r="A112" s="355" t="s">
        <v>260</v>
      </c>
      <c r="B112" s="47"/>
      <c r="C112" s="11"/>
      <c r="D112" s="11">
        <f>-D23</f>
        <v>0</v>
      </c>
      <c r="E112" s="11">
        <f t="shared" ref="E112:AB112" si="104">-E23-E25-E26</f>
        <v>0</v>
      </c>
      <c r="F112" s="11">
        <f t="shared" si="104"/>
        <v>0</v>
      </c>
      <c r="G112" s="11">
        <f t="shared" si="104"/>
        <v>0</v>
      </c>
      <c r="H112" s="11">
        <f t="shared" si="104"/>
        <v>0</v>
      </c>
      <c r="I112" s="11">
        <f t="shared" si="104"/>
        <v>0</v>
      </c>
      <c r="J112" s="11">
        <f t="shared" si="104"/>
        <v>0</v>
      </c>
      <c r="K112" s="11">
        <f t="shared" si="104"/>
        <v>0</v>
      </c>
      <c r="L112" s="11">
        <f t="shared" si="104"/>
        <v>0</v>
      </c>
      <c r="M112" s="11">
        <f t="shared" si="104"/>
        <v>0</v>
      </c>
      <c r="N112" s="11">
        <f t="shared" si="104"/>
        <v>0</v>
      </c>
      <c r="O112" s="11">
        <f t="shared" si="104"/>
        <v>0</v>
      </c>
      <c r="P112" s="11">
        <f t="shared" si="104"/>
        <v>0</v>
      </c>
      <c r="Q112" s="11">
        <f t="shared" si="104"/>
        <v>0</v>
      </c>
      <c r="R112" s="11">
        <f t="shared" si="104"/>
        <v>0</v>
      </c>
      <c r="S112" s="11">
        <f t="shared" si="104"/>
        <v>0</v>
      </c>
      <c r="T112" s="11">
        <f t="shared" si="104"/>
        <v>0</v>
      </c>
      <c r="U112" s="11">
        <f t="shared" si="104"/>
        <v>0</v>
      </c>
      <c r="V112" s="11">
        <f t="shared" si="104"/>
        <v>0</v>
      </c>
      <c r="W112" s="11">
        <f t="shared" si="104"/>
        <v>0</v>
      </c>
      <c r="X112" s="11">
        <f t="shared" si="104"/>
        <v>0</v>
      </c>
      <c r="Y112" s="11">
        <f t="shared" si="104"/>
        <v>0</v>
      </c>
      <c r="Z112" s="11">
        <f t="shared" si="104"/>
        <v>0</v>
      </c>
      <c r="AA112" s="11">
        <f t="shared" si="104"/>
        <v>0</v>
      </c>
      <c r="AB112" s="11">
        <f t="shared" si="104"/>
        <v>0</v>
      </c>
    </row>
    <row r="113" spans="1:28" s="114" customFormat="1" ht="13.8" x14ac:dyDescent="0.3">
      <c r="A113" s="355" t="s">
        <v>286</v>
      </c>
      <c r="B113" s="47"/>
      <c r="C113" s="11"/>
      <c r="D113" s="11">
        <f t="shared" ref="D113:AB113" si="105">-D22</f>
        <v>0</v>
      </c>
      <c r="E113" s="11">
        <f t="shared" si="105"/>
        <v>0</v>
      </c>
      <c r="F113" s="11">
        <f t="shared" si="105"/>
        <v>0</v>
      </c>
      <c r="G113" s="11">
        <f t="shared" si="105"/>
        <v>0</v>
      </c>
      <c r="H113" s="11">
        <f t="shared" si="105"/>
        <v>0</v>
      </c>
      <c r="I113" s="11">
        <f t="shared" si="105"/>
        <v>0</v>
      </c>
      <c r="J113" s="11">
        <f t="shared" si="105"/>
        <v>0</v>
      </c>
      <c r="K113" s="11">
        <f t="shared" si="105"/>
        <v>0</v>
      </c>
      <c r="L113" s="11">
        <f t="shared" si="105"/>
        <v>0</v>
      </c>
      <c r="M113" s="11">
        <f t="shared" si="105"/>
        <v>0</v>
      </c>
      <c r="N113" s="11">
        <f t="shared" si="105"/>
        <v>0</v>
      </c>
      <c r="O113" s="11">
        <f t="shared" si="105"/>
        <v>0</v>
      </c>
      <c r="P113" s="11">
        <f t="shared" si="105"/>
        <v>0</v>
      </c>
      <c r="Q113" s="11">
        <f t="shared" si="105"/>
        <v>0</v>
      </c>
      <c r="R113" s="11">
        <f t="shared" si="105"/>
        <v>0</v>
      </c>
      <c r="S113" s="11">
        <f t="shared" si="105"/>
        <v>0</v>
      </c>
      <c r="T113" s="11">
        <f t="shared" si="105"/>
        <v>0</v>
      </c>
      <c r="U113" s="11">
        <f t="shared" si="105"/>
        <v>0</v>
      </c>
      <c r="V113" s="11">
        <f t="shared" si="105"/>
        <v>0</v>
      </c>
      <c r="W113" s="11">
        <f t="shared" si="105"/>
        <v>0</v>
      </c>
      <c r="X113" s="11">
        <f t="shared" si="105"/>
        <v>0</v>
      </c>
      <c r="Y113" s="11">
        <f t="shared" si="105"/>
        <v>0</v>
      </c>
      <c r="Z113" s="11">
        <f t="shared" si="105"/>
        <v>0</v>
      </c>
      <c r="AA113" s="11">
        <f t="shared" si="105"/>
        <v>0</v>
      </c>
      <c r="AB113" s="11">
        <f t="shared" si="105"/>
        <v>0</v>
      </c>
    </row>
    <row r="114" spans="1:28" s="114" customFormat="1" ht="13.8" x14ac:dyDescent="0.3">
      <c r="A114" s="353" t="s">
        <v>261</v>
      </c>
      <c r="B114" s="354"/>
      <c r="C114" s="233"/>
      <c r="D114" s="233" t="e">
        <f>SUM(D111:D113)</f>
        <v>#DIV/0!</v>
      </c>
      <c r="E114" s="233" t="e">
        <f t="shared" ref="E114:AB114" si="106">SUM(E111:E113)</f>
        <v>#DIV/0!</v>
      </c>
      <c r="F114" s="233" t="e">
        <f t="shared" si="106"/>
        <v>#DIV/0!</v>
      </c>
      <c r="G114" s="233" t="e">
        <f t="shared" si="106"/>
        <v>#DIV/0!</v>
      </c>
      <c r="H114" s="233" t="e">
        <f t="shared" si="106"/>
        <v>#DIV/0!</v>
      </c>
      <c r="I114" s="233" t="e">
        <f t="shared" si="106"/>
        <v>#DIV/0!</v>
      </c>
      <c r="J114" s="233" t="e">
        <f t="shared" si="106"/>
        <v>#DIV/0!</v>
      </c>
      <c r="K114" s="233" t="e">
        <f t="shared" si="106"/>
        <v>#DIV/0!</v>
      </c>
      <c r="L114" s="233" t="e">
        <f t="shared" si="106"/>
        <v>#DIV/0!</v>
      </c>
      <c r="M114" s="233" t="e">
        <f t="shared" si="106"/>
        <v>#DIV/0!</v>
      </c>
      <c r="N114" s="233" t="e">
        <f t="shared" si="106"/>
        <v>#DIV/0!</v>
      </c>
      <c r="O114" s="233" t="e">
        <f t="shared" si="106"/>
        <v>#DIV/0!</v>
      </c>
      <c r="P114" s="233" t="e">
        <f t="shared" si="106"/>
        <v>#DIV/0!</v>
      </c>
      <c r="Q114" s="233" t="e">
        <f t="shared" si="106"/>
        <v>#DIV/0!</v>
      </c>
      <c r="R114" s="233" t="e">
        <f t="shared" si="106"/>
        <v>#DIV/0!</v>
      </c>
      <c r="S114" s="233" t="e">
        <f t="shared" si="106"/>
        <v>#DIV/0!</v>
      </c>
      <c r="T114" s="233" t="e">
        <f t="shared" si="106"/>
        <v>#DIV/0!</v>
      </c>
      <c r="U114" s="233" t="e">
        <f t="shared" si="106"/>
        <v>#DIV/0!</v>
      </c>
      <c r="V114" s="233" t="e">
        <f t="shared" si="106"/>
        <v>#DIV/0!</v>
      </c>
      <c r="W114" s="233" t="e">
        <f t="shared" si="106"/>
        <v>#DIV/0!</v>
      </c>
      <c r="X114" s="233" t="e">
        <f t="shared" si="106"/>
        <v>#DIV/0!</v>
      </c>
      <c r="Y114" s="233" t="e">
        <f t="shared" si="106"/>
        <v>#DIV/0!</v>
      </c>
      <c r="Z114" s="233" t="e">
        <f t="shared" si="106"/>
        <v>#DIV/0!</v>
      </c>
      <c r="AA114" s="233" t="e">
        <f t="shared" si="106"/>
        <v>#DIV/0!</v>
      </c>
      <c r="AB114" s="233" t="e">
        <f t="shared" si="106"/>
        <v>#DIV/0!</v>
      </c>
    </row>
    <row r="115" spans="1:28" s="114" customFormat="1" ht="13.8" x14ac:dyDescent="0.3">
      <c r="A115" s="355" t="s">
        <v>463</v>
      </c>
      <c r="B115" s="47"/>
      <c r="C115" s="11"/>
      <c r="D115" s="11">
        <f t="shared" ref="D115:AB115" si="107">D28</f>
        <v>0</v>
      </c>
      <c r="E115" s="11">
        <f t="shared" si="107"/>
        <v>0</v>
      </c>
      <c r="F115" s="11">
        <f t="shared" si="107"/>
        <v>0</v>
      </c>
      <c r="G115" s="11">
        <f t="shared" si="107"/>
        <v>0</v>
      </c>
      <c r="H115" s="11">
        <f t="shared" si="107"/>
        <v>0</v>
      </c>
      <c r="I115" s="11">
        <f t="shared" si="107"/>
        <v>0</v>
      </c>
      <c r="J115" s="11">
        <f t="shared" si="107"/>
        <v>0</v>
      </c>
      <c r="K115" s="11">
        <f t="shared" si="107"/>
        <v>0</v>
      </c>
      <c r="L115" s="11">
        <f t="shared" si="107"/>
        <v>0</v>
      </c>
      <c r="M115" s="11">
        <f t="shared" si="107"/>
        <v>0</v>
      </c>
      <c r="N115" s="11">
        <f t="shared" si="107"/>
        <v>0</v>
      </c>
      <c r="O115" s="11">
        <f t="shared" si="107"/>
        <v>0</v>
      </c>
      <c r="P115" s="11">
        <f t="shared" si="107"/>
        <v>0</v>
      </c>
      <c r="Q115" s="11">
        <f t="shared" si="107"/>
        <v>0</v>
      </c>
      <c r="R115" s="11">
        <f t="shared" si="107"/>
        <v>0</v>
      </c>
      <c r="S115" s="11">
        <f t="shared" si="107"/>
        <v>0</v>
      </c>
      <c r="T115" s="11">
        <f t="shared" si="107"/>
        <v>0</v>
      </c>
      <c r="U115" s="11">
        <f t="shared" si="107"/>
        <v>0</v>
      </c>
      <c r="V115" s="11">
        <f t="shared" si="107"/>
        <v>0</v>
      </c>
      <c r="W115" s="11">
        <f t="shared" si="107"/>
        <v>0</v>
      </c>
      <c r="X115" s="11">
        <f t="shared" si="107"/>
        <v>0</v>
      </c>
      <c r="Y115" s="11">
        <f t="shared" si="107"/>
        <v>0</v>
      </c>
      <c r="Z115" s="11">
        <f t="shared" si="107"/>
        <v>0</v>
      </c>
      <c r="AA115" s="11">
        <f t="shared" si="107"/>
        <v>0</v>
      </c>
      <c r="AB115" s="11">
        <f t="shared" si="107"/>
        <v>0</v>
      </c>
    </row>
    <row r="116" spans="1:28" s="114" customFormat="1" ht="13.8" x14ac:dyDescent="0.3">
      <c r="A116" s="353" t="s">
        <v>262</v>
      </c>
      <c r="B116" s="354"/>
      <c r="C116" s="233"/>
      <c r="D116" s="233" t="e">
        <f>SUM(D114:D115)</f>
        <v>#DIV/0!</v>
      </c>
      <c r="E116" s="233" t="e">
        <f t="shared" ref="E116:AB116" si="108">SUM(E114:E115)</f>
        <v>#DIV/0!</v>
      </c>
      <c r="F116" s="233" t="e">
        <f t="shared" si="108"/>
        <v>#DIV/0!</v>
      </c>
      <c r="G116" s="233" t="e">
        <f t="shared" si="108"/>
        <v>#DIV/0!</v>
      </c>
      <c r="H116" s="233" t="e">
        <f t="shared" si="108"/>
        <v>#DIV/0!</v>
      </c>
      <c r="I116" s="233" t="e">
        <f t="shared" si="108"/>
        <v>#DIV/0!</v>
      </c>
      <c r="J116" s="233" t="e">
        <f t="shared" si="108"/>
        <v>#DIV/0!</v>
      </c>
      <c r="K116" s="233" t="e">
        <f t="shared" si="108"/>
        <v>#DIV/0!</v>
      </c>
      <c r="L116" s="233" t="e">
        <f t="shared" si="108"/>
        <v>#DIV/0!</v>
      </c>
      <c r="M116" s="233" t="e">
        <f t="shared" si="108"/>
        <v>#DIV/0!</v>
      </c>
      <c r="N116" s="233" t="e">
        <f t="shared" si="108"/>
        <v>#DIV/0!</v>
      </c>
      <c r="O116" s="233" t="e">
        <f t="shared" si="108"/>
        <v>#DIV/0!</v>
      </c>
      <c r="P116" s="233" t="e">
        <f t="shared" si="108"/>
        <v>#DIV/0!</v>
      </c>
      <c r="Q116" s="233" t="e">
        <f t="shared" si="108"/>
        <v>#DIV/0!</v>
      </c>
      <c r="R116" s="233" t="e">
        <f t="shared" si="108"/>
        <v>#DIV/0!</v>
      </c>
      <c r="S116" s="233" t="e">
        <f t="shared" si="108"/>
        <v>#DIV/0!</v>
      </c>
      <c r="T116" s="233" t="e">
        <f t="shared" si="108"/>
        <v>#DIV/0!</v>
      </c>
      <c r="U116" s="233" t="e">
        <f t="shared" si="108"/>
        <v>#DIV/0!</v>
      </c>
      <c r="V116" s="233" t="e">
        <f t="shared" si="108"/>
        <v>#DIV/0!</v>
      </c>
      <c r="W116" s="233" t="e">
        <f t="shared" si="108"/>
        <v>#DIV/0!</v>
      </c>
      <c r="X116" s="233" t="e">
        <f t="shared" si="108"/>
        <v>#DIV/0!</v>
      </c>
      <c r="Y116" s="233" t="e">
        <f t="shared" si="108"/>
        <v>#DIV/0!</v>
      </c>
      <c r="Z116" s="233" t="e">
        <f t="shared" si="108"/>
        <v>#DIV/0!</v>
      </c>
      <c r="AA116" s="233" t="e">
        <f t="shared" si="108"/>
        <v>#DIV/0!</v>
      </c>
      <c r="AB116" s="233" t="e">
        <f t="shared" si="108"/>
        <v>#DIV/0!</v>
      </c>
    </row>
    <row r="117" spans="1:28" s="114" customFormat="1" ht="13.8" x14ac:dyDescent="0.3">
      <c r="A117" s="355" t="s">
        <v>263</v>
      </c>
      <c r="B117" s="47"/>
      <c r="C117" s="11"/>
      <c r="D117" s="11">
        <f t="shared" ref="D117:AB117" si="109">D155</f>
        <v>0</v>
      </c>
      <c r="E117" s="11">
        <f t="shared" si="109"/>
        <v>0</v>
      </c>
      <c r="F117" s="11">
        <f t="shared" si="109"/>
        <v>0</v>
      </c>
      <c r="G117" s="11">
        <f t="shared" si="109"/>
        <v>0</v>
      </c>
      <c r="H117" s="11">
        <f t="shared" si="109"/>
        <v>0</v>
      </c>
      <c r="I117" s="11">
        <f t="shared" si="109"/>
        <v>0</v>
      </c>
      <c r="J117" s="11">
        <f t="shared" si="109"/>
        <v>0</v>
      </c>
      <c r="K117" s="11">
        <f t="shared" si="109"/>
        <v>0</v>
      </c>
      <c r="L117" s="11">
        <f t="shared" si="109"/>
        <v>0</v>
      </c>
      <c r="M117" s="11">
        <f t="shared" si="109"/>
        <v>0</v>
      </c>
      <c r="N117" s="11">
        <f t="shared" si="109"/>
        <v>0</v>
      </c>
      <c r="O117" s="11">
        <f t="shared" si="109"/>
        <v>0</v>
      </c>
      <c r="P117" s="11">
        <f t="shared" si="109"/>
        <v>0</v>
      </c>
      <c r="Q117" s="11">
        <f t="shared" si="109"/>
        <v>0</v>
      </c>
      <c r="R117" s="11">
        <f t="shared" si="109"/>
        <v>0</v>
      </c>
      <c r="S117" s="11">
        <f t="shared" si="109"/>
        <v>0</v>
      </c>
      <c r="T117" s="11">
        <f t="shared" si="109"/>
        <v>0</v>
      </c>
      <c r="U117" s="11">
        <f t="shared" si="109"/>
        <v>0</v>
      </c>
      <c r="V117" s="11">
        <f t="shared" si="109"/>
        <v>0</v>
      </c>
      <c r="W117" s="11">
        <f t="shared" si="109"/>
        <v>0</v>
      </c>
      <c r="X117" s="11">
        <f t="shared" si="109"/>
        <v>0</v>
      </c>
      <c r="Y117" s="11">
        <f t="shared" si="109"/>
        <v>0</v>
      </c>
      <c r="Z117" s="11">
        <f t="shared" si="109"/>
        <v>0</v>
      </c>
      <c r="AA117" s="11">
        <f t="shared" si="109"/>
        <v>0</v>
      </c>
      <c r="AB117" s="11">
        <f t="shared" si="109"/>
        <v>0</v>
      </c>
    </row>
    <row r="118" spans="1:28" s="114" customFormat="1" ht="13.8" x14ac:dyDescent="0.3">
      <c r="A118" s="353" t="s">
        <v>264</v>
      </c>
      <c r="B118" s="354"/>
      <c r="C118" s="233"/>
      <c r="D118" s="233" t="e">
        <f>SUM(D116:D117)</f>
        <v>#DIV/0!</v>
      </c>
      <c r="E118" s="233" t="e">
        <f t="shared" ref="E118:AB118" si="110">SUM(E116:E117)</f>
        <v>#DIV/0!</v>
      </c>
      <c r="F118" s="233" t="e">
        <f t="shared" si="110"/>
        <v>#DIV/0!</v>
      </c>
      <c r="G118" s="233" t="e">
        <f t="shared" si="110"/>
        <v>#DIV/0!</v>
      </c>
      <c r="H118" s="233" t="e">
        <f t="shared" si="110"/>
        <v>#DIV/0!</v>
      </c>
      <c r="I118" s="233" t="e">
        <f t="shared" si="110"/>
        <v>#DIV/0!</v>
      </c>
      <c r="J118" s="233" t="e">
        <f t="shared" si="110"/>
        <v>#DIV/0!</v>
      </c>
      <c r="K118" s="233" t="e">
        <f t="shared" si="110"/>
        <v>#DIV/0!</v>
      </c>
      <c r="L118" s="233" t="e">
        <f t="shared" si="110"/>
        <v>#DIV/0!</v>
      </c>
      <c r="M118" s="233" t="e">
        <f t="shared" si="110"/>
        <v>#DIV/0!</v>
      </c>
      <c r="N118" s="233" t="e">
        <f t="shared" si="110"/>
        <v>#DIV/0!</v>
      </c>
      <c r="O118" s="233" t="e">
        <f t="shared" si="110"/>
        <v>#DIV/0!</v>
      </c>
      <c r="P118" s="233" t="e">
        <f t="shared" si="110"/>
        <v>#DIV/0!</v>
      </c>
      <c r="Q118" s="233" t="e">
        <f t="shared" si="110"/>
        <v>#DIV/0!</v>
      </c>
      <c r="R118" s="233" t="e">
        <f t="shared" si="110"/>
        <v>#DIV/0!</v>
      </c>
      <c r="S118" s="233" t="e">
        <f t="shared" si="110"/>
        <v>#DIV/0!</v>
      </c>
      <c r="T118" s="233" t="e">
        <f t="shared" si="110"/>
        <v>#DIV/0!</v>
      </c>
      <c r="U118" s="233" t="e">
        <f t="shared" si="110"/>
        <v>#DIV/0!</v>
      </c>
      <c r="V118" s="233" t="e">
        <f t="shared" si="110"/>
        <v>#DIV/0!</v>
      </c>
      <c r="W118" s="233" t="e">
        <f t="shared" si="110"/>
        <v>#DIV/0!</v>
      </c>
      <c r="X118" s="233" t="e">
        <f t="shared" si="110"/>
        <v>#DIV/0!</v>
      </c>
      <c r="Y118" s="233" t="e">
        <f t="shared" si="110"/>
        <v>#DIV/0!</v>
      </c>
      <c r="Z118" s="233" t="e">
        <f t="shared" si="110"/>
        <v>#DIV/0!</v>
      </c>
      <c r="AA118" s="233" t="e">
        <f t="shared" si="110"/>
        <v>#DIV/0!</v>
      </c>
      <c r="AB118" s="233" t="e">
        <f t="shared" si="110"/>
        <v>#DIV/0!</v>
      </c>
    </row>
    <row r="119" spans="1:28" s="114" customFormat="1" ht="13.8" x14ac:dyDescent="0.3">
      <c r="A119" s="355" t="s">
        <v>265</v>
      </c>
      <c r="B119" s="47"/>
      <c r="C119" s="11"/>
      <c r="D119" s="11" t="e">
        <f>IF(SUM($D$118:D118)&gt;0,-D118*Inputs!$C$213,0)</f>
        <v>#DIV/0!</v>
      </c>
      <c r="E119" s="11" t="e">
        <f>IF(SUM($D$118:E118)&gt;0,-E118*Inputs!$C$213,0)</f>
        <v>#DIV/0!</v>
      </c>
      <c r="F119" s="11" t="e">
        <f>IF(SUM($D$118:F118)&gt;0,-F118*Inputs!$C$213,0)</f>
        <v>#DIV/0!</v>
      </c>
      <c r="G119" s="11" t="e">
        <f>IF(SUM($D$118:G118)&gt;0,-G118*Inputs!$C$213,0)</f>
        <v>#DIV/0!</v>
      </c>
      <c r="H119" s="11" t="e">
        <f>IF(SUM($D$118:H118)&gt;0,-H118*Inputs!$C$213,0)</f>
        <v>#DIV/0!</v>
      </c>
      <c r="I119" s="11" t="e">
        <f>IF(SUM($D$118:I118)&gt;0,-I118*Inputs!$C$213,0)</f>
        <v>#DIV/0!</v>
      </c>
      <c r="J119" s="11" t="e">
        <f>IF(SUM($D$118:J118)&gt;0,-J118*Inputs!$C$213,0)</f>
        <v>#DIV/0!</v>
      </c>
      <c r="K119" s="11" t="e">
        <f>IF(SUM($D$118:K118)&gt;0,-K118*Inputs!$C$213,0)</f>
        <v>#DIV/0!</v>
      </c>
      <c r="L119" s="11" t="e">
        <f>IF(SUM($D$118:L118)&gt;0,-L118*Inputs!$C$213,0)</f>
        <v>#DIV/0!</v>
      </c>
      <c r="M119" s="11" t="e">
        <f>IF(SUM($D$118:M118)&gt;0,-M118*Inputs!$C$213,0)</f>
        <v>#DIV/0!</v>
      </c>
      <c r="N119" s="11" t="e">
        <f>IF(SUM($D$118:N118)&gt;0,-N118*Inputs!$C$213,0)</f>
        <v>#DIV/0!</v>
      </c>
      <c r="O119" s="11" t="e">
        <f>IF(SUM($D$118:O118)&gt;0,-O118*Inputs!$C$213,0)</f>
        <v>#DIV/0!</v>
      </c>
      <c r="P119" s="11" t="e">
        <f>IF(SUM($D$118:P118)&gt;0,-P118*Inputs!$C$213,0)</f>
        <v>#DIV/0!</v>
      </c>
      <c r="Q119" s="11" t="e">
        <f>IF(SUM($D$118:Q118)&gt;0,-Q118*Inputs!$C$213,0)</f>
        <v>#DIV/0!</v>
      </c>
      <c r="R119" s="11" t="e">
        <f>IF(SUM($D$118:R118)&gt;0,-R118*Inputs!$C$213,0)</f>
        <v>#DIV/0!</v>
      </c>
      <c r="S119" s="11" t="e">
        <f>IF(SUM($D$118:S118)&gt;0,-S118*Inputs!$C$213,0)</f>
        <v>#DIV/0!</v>
      </c>
      <c r="T119" s="11" t="e">
        <f>IF(SUM($D$118:T118)&gt;0,-T118*Inputs!$C$213,0)</f>
        <v>#DIV/0!</v>
      </c>
      <c r="U119" s="11" t="e">
        <f>IF(SUM($D$118:U118)&gt;0,-U118*Inputs!$C$213,0)</f>
        <v>#DIV/0!</v>
      </c>
      <c r="V119" s="11" t="e">
        <f>IF(SUM($D$118:V118)&gt;0,-V118*Inputs!$C$213,0)</f>
        <v>#DIV/0!</v>
      </c>
      <c r="W119" s="11" t="e">
        <f>IF(SUM($D$118:W118)&gt;0,-W118*Inputs!$C$213,0)</f>
        <v>#DIV/0!</v>
      </c>
      <c r="X119" s="11" t="e">
        <f>IF(SUM($D$118:X118)&gt;0,-X118*Inputs!$C$213,0)</f>
        <v>#DIV/0!</v>
      </c>
      <c r="Y119" s="11" t="e">
        <f>IF(SUM($D$118:Y118)&gt;0,-Y118*Inputs!$C$213,0)</f>
        <v>#DIV/0!</v>
      </c>
      <c r="Z119" s="11" t="e">
        <f>IF(SUM($D$118:Z118)&gt;0,-Z118*Inputs!$C$213,0)</f>
        <v>#DIV/0!</v>
      </c>
      <c r="AA119" s="11" t="e">
        <f>IF(SUM($D$118:AA118)&gt;0,-AA118*Inputs!$C$213,0)</f>
        <v>#DIV/0!</v>
      </c>
      <c r="AB119" s="11" t="e">
        <f>IF(SUM($D$118:AB118)&gt;0,-AB118*Inputs!$C$213,0)</f>
        <v>#DIV/0!</v>
      </c>
    </row>
    <row r="120" spans="1:28" s="114" customFormat="1" thickBot="1" x14ac:dyDescent="0.35">
      <c r="A120" s="356" t="s">
        <v>266</v>
      </c>
      <c r="B120" s="357"/>
      <c r="C120" s="234"/>
      <c r="D120" s="234" t="e">
        <f>SUM(D118:D119)</f>
        <v>#DIV/0!</v>
      </c>
      <c r="E120" s="234" t="e">
        <f t="shared" ref="E120:AB120" si="111">SUM(E118:E119)</f>
        <v>#DIV/0!</v>
      </c>
      <c r="F120" s="234" t="e">
        <f t="shared" si="111"/>
        <v>#DIV/0!</v>
      </c>
      <c r="G120" s="234" t="e">
        <f t="shared" si="111"/>
        <v>#DIV/0!</v>
      </c>
      <c r="H120" s="234" t="e">
        <f t="shared" si="111"/>
        <v>#DIV/0!</v>
      </c>
      <c r="I120" s="234" t="e">
        <f t="shared" si="111"/>
        <v>#DIV/0!</v>
      </c>
      <c r="J120" s="234" t="e">
        <f t="shared" si="111"/>
        <v>#DIV/0!</v>
      </c>
      <c r="K120" s="234" t="e">
        <f t="shared" si="111"/>
        <v>#DIV/0!</v>
      </c>
      <c r="L120" s="234" t="e">
        <f t="shared" si="111"/>
        <v>#DIV/0!</v>
      </c>
      <c r="M120" s="234" t="e">
        <f t="shared" si="111"/>
        <v>#DIV/0!</v>
      </c>
      <c r="N120" s="234" t="e">
        <f t="shared" si="111"/>
        <v>#DIV/0!</v>
      </c>
      <c r="O120" s="234" t="e">
        <f t="shared" si="111"/>
        <v>#DIV/0!</v>
      </c>
      <c r="P120" s="234" t="e">
        <f t="shared" si="111"/>
        <v>#DIV/0!</v>
      </c>
      <c r="Q120" s="234" t="e">
        <f t="shared" si="111"/>
        <v>#DIV/0!</v>
      </c>
      <c r="R120" s="234" t="e">
        <f t="shared" si="111"/>
        <v>#DIV/0!</v>
      </c>
      <c r="S120" s="234" t="e">
        <f t="shared" si="111"/>
        <v>#DIV/0!</v>
      </c>
      <c r="T120" s="234" t="e">
        <f t="shared" si="111"/>
        <v>#DIV/0!</v>
      </c>
      <c r="U120" s="234" t="e">
        <f t="shared" si="111"/>
        <v>#DIV/0!</v>
      </c>
      <c r="V120" s="234" t="e">
        <f t="shared" si="111"/>
        <v>#DIV/0!</v>
      </c>
      <c r="W120" s="234" t="e">
        <f t="shared" si="111"/>
        <v>#DIV/0!</v>
      </c>
      <c r="X120" s="234" t="e">
        <f t="shared" si="111"/>
        <v>#DIV/0!</v>
      </c>
      <c r="Y120" s="234" t="e">
        <f t="shared" si="111"/>
        <v>#DIV/0!</v>
      </c>
      <c r="Z120" s="234" t="e">
        <f t="shared" si="111"/>
        <v>#DIV/0!</v>
      </c>
      <c r="AA120" s="234" t="e">
        <f t="shared" si="111"/>
        <v>#DIV/0!</v>
      </c>
      <c r="AB120" s="234" t="e">
        <f t="shared" si="111"/>
        <v>#DIV/0!</v>
      </c>
    </row>
    <row r="121" spans="1:28" s="114" customFormat="1" thickTop="1" x14ac:dyDescent="0.3">
      <c r="A121" s="358"/>
      <c r="B121" s="358"/>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row>
    <row r="122" spans="1:28" s="114" customFormat="1" ht="13.8" x14ac:dyDescent="0.3">
      <c r="A122" s="47"/>
      <c r="B122" s="47"/>
      <c r="C122" s="61"/>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s="157" customFormat="1" ht="13.8" x14ac:dyDescent="0.3">
      <c r="A123" s="359" t="s">
        <v>401</v>
      </c>
      <c r="B123" s="360"/>
      <c r="C123" s="361"/>
      <c r="D123" s="360"/>
      <c r="E123" s="3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row>
    <row r="124" spans="1:28" s="114" customFormat="1" ht="13.8" x14ac:dyDescent="0.3">
      <c r="A124" s="353" t="s">
        <v>267</v>
      </c>
      <c r="B124" s="354"/>
      <c r="C124" s="233"/>
      <c r="D124" s="233" t="e">
        <f>D114</f>
        <v>#DIV/0!</v>
      </c>
      <c r="E124" s="233" t="e">
        <f t="shared" ref="E124:AB124" si="112">E114</f>
        <v>#DIV/0!</v>
      </c>
      <c r="F124" s="233" t="e">
        <f t="shared" si="112"/>
        <v>#DIV/0!</v>
      </c>
      <c r="G124" s="233" t="e">
        <f t="shared" si="112"/>
        <v>#DIV/0!</v>
      </c>
      <c r="H124" s="233" t="e">
        <f t="shared" si="112"/>
        <v>#DIV/0!</v>
      </c>
      <c r="I124" s="233" t="e">
        <f t="shared" si="112"/>
        <v>#DIV/0!</v>
      </c>
      <c r="J124" s="233" t="e">
        <f t="shared" si="112"/>
        <v>#DIV/0!</v>
      </c>
      <c r="K124" s="233" t="e">
        <f t="shared" si="112"/>
        <v>#DIV/0!</v>
      </c>
      <c r="L124" s="233" t="e">
        <f t="shared" si="112"/>
        <v>#DIV/0!</v>
      </c>
      <c r="M124" s="233" t="e">
        <f t="shared" si="112"/>
        <v>#DIV/0!</v>
      </c>
      <c r="N124" s="233" t="e">
        <f t="shared" si="112"/>
        <v>#DIV/0!</v>
      </c>
      <c r="O124" s="233" t="e">
        <f t="shared" si="112"/>
        <v>#DIV/0!</v>
      </c>
      <c r="P124" s="233" t="e">
        <f t="shared" si="112"/>
        <v>#DIV/0!</v>
      </c>
      <c r="Q124" s="233" t="e">
        <f t="shared" si="112"/>
        <v>#DIV/0!</v>
      </c>
      <c r="R124" s="233" t="e">
        <f t="shared" si="112"/>
        <v>#DIV/0!</v>
      </c>
      <c r="S124" s="233" t="e">
        <f t="shared" si="112"/>
        <v>#DIV/0!</v>
      </c>
      <c r="T124" s="233" t="e">
        <f t="shared" si="112"/>
        <v>#DIV/0!</v>
      </c>
      <c r="U124" s="233" t="e">
        <f t="shared" si="112"/>
        <v>#DIV/0!</v>
      </c>
      <c r="V124" s="233" t="e">
        <f t="shared" si="112"/>
        <v>#DIV/0!</v>
      </c>
      <c r="W124" s="233" t="e">
        <f t="shared" si="112"/>
        <v>#DIV/0!</v>
      </c>
      <c r="X124" s="233" t="e">
        <f t="shared" si="112"/>
        <v>#DIV/0!</v>
      </c>
      <c r="Y124" s="233" t="e">
        <f t="shared" si="112"/>
        <v>#DIV/0!</v>
      </c>
      <c r="Z124" s="233" t="e">
        <f t="shared" si="112"/>
        <v>#DIV/0!</v>
      </c>
      <c r="AA124" s="233" t="e">
        <f t="shared" si="112"/>
        <v>#DIV/0!</v>
      </c>
      <c r="AB124" s="233" t="e">
        <f t="shared" si="112"/>
        <v>#DIV/0!</v>
      </c>
    </row>
    <row r="125" spans="1:28" s="114" customFormat="1" ht="13.8" x14ac:dyDescent="0.3">
      <c r="A125" s="355" t="s">
        <v>268</v>
      </c>
      <c r="B125" s="47"/>
      <c r="C125" s="11"/>
      <c r="D125" s="11" t="e">
        <f>D119</f>
        <v>#DIV/0!</v>
      </c>
      <c r="E125" s="11" t="e">
        <f t="shared" ref="E125:AB125" si="113">E119</f>
        <v>#DIV/0!</v>
      </c>
      <c r="F125" s="11" t="e">
        <f t="shared" si="113"/>
        <v>#DIV/0!</v>
      </c>
      <c r="G125" s="11" t="e">
        <f t="shared" si="113"/>
        <v>#DIV/0!</v>
      </c>
      <c r="H125" s="11" t="e">
        <f t="shared" si="113"/>
        <v>#DIV/0!</v>
      </c>
      <c r="I125" s="11" t="e">
        <f t="shared" si="113"/>
        <v>#DIV/0!</v>
      </c>
      <c r="J125" s="11" t="e">
        <f t="shared" si="113"/>
        <v>#DIV/0!</v>
      </c>
      <c r="K125" s="11" t="e">
        <f t="shared" si="113"/>
        <v>#DIV/0!</v>
      </c>
      <c r="L125" s="11" t="e">
        <f t="shared" si="113"/>
        <v>#DIV/0!</v>
      </c>
      <c r="M125" s="11" t="e">
        <f t="shared" si="113"/>
        <v>#DIV/0!</v>
      </c>
      <c r="N125" s="11" t="e">
        <f t="shared" si="113"/>
        <v>#DIV/0!</v>
      </c>
      <c r="O125" s="11" t="e">
        <f t="shared" si="113"/>
        <v>#DIV/0!</v>
      </c>
      <c r="P125" s="11" t="e">
        <f t="shared" si="113"/>
        <v>#DIV/0!</v>
      </c>
      <c r="Q125" s="11" t="e">
        <f t="shared" si="113"/>
        <v>#DIV/0!</v>
      </c>
      <c r="R125" s="11" t="e">
        <f t="shared" si="113"/>
        <v>#DIV/0!</v>
      </c>
      <c r="S125" s="11" t="e">
        <f t="shared" si="113"/>
        <v>#DIV/0!</v>
      </c>
      <c r="T125" s="11" t="e">
        <f t="shared" si="113"/>
        <v>#DIV/0!</v>
      </c>
      <c r="U125" s="11" t="e">
        <f t="shared" si="113"/>
        <v>#DIV/0!</v>
      </c>
      <c r="V125" s="11" t="e">
        <f t="shared" si="113"/>
        <v>#DIV/0!</v>
      </c>
      <c r="W125" s="11" t="e">
        <f t="shared" si="113"/>
        <v>#DIV/0!</v>
      </c>
      <c r="X125" s="11" t="e">
        <f t="shared" si="113"/>
        <v>#DIV/0!</v>
      </c>
      <c r="Y125" s="11" t="e">
        <f t="shared" si="113"/>
        <v>#DIV/0!</v>
      </c>
      <c r="Z125" s="11" t="e">
        <f t="shared" si="113"/>
        <v>#DIV/0!</v>
      </c>
      <c r="AA125" s="11" t="e">
        <f t="shared" si="113"/>
        <v>#DIV/0!</v>
      </c>
      <c r="AB125" s="11" t="e">
        <f t="shared" si="113"/>
        <v>#DIV/0!</v>
      </c>
    </row>
    <row r="126" spans="1:28" s="362" customFormat="1" thickBot="1" x14ac:dyDescent="0.35">
      <c r="A126" s="356" t="s">
        <v>269</v>
      </c>
      <c r="B126" s="357"/>
      <c r="C126" s="234">
        <f>-Inputs!C128</f>
        <v>0</v>
      </c>
      <c r="D126" s="234">
        <f>IFERROR(SUM(D124:D125),0)</f>
        <v>0</v>
      </c>
      <c r="E126" s="234">
        <f t="shared" ref="E126:AB126" si="114">IFERROR(SUM(E124:E125),0)</f>
        <v>0</v>
      </c>
      <c r="F126" s="234">
        <f t="shared" si="114"/>
        <v>0</v>
      </c>
      <c r="G126" s="234">
        <f t="shared" si="114"/>
        <v>0</v>
      </c>
      <c r="H126" s="234">
        <f t="shared" si="114"/>
        <v>0</v>
      </c>
      <c r="I126" s="234">
        <f t="shared" si="114"/>
        <v>0</v>
      </c>
      <c r="J126" s="234">
        <f t="shared" si="114"/>
        <v>0</v>
      </c>
      <c r="K126" s="234">
        <f t="shared" si="114"/>
        <v>0</v>
      </c>
      <c r="L126" s="234">
        <f t="shared" si="114"/>
        <v>0</v>
      </c>
      <c r="M126" s="234">
        <f t="shared" si="114"/>
        <v>0</v>
      </c>
      <c r="N126" s="234">
        <f t="shared" si="114"/>
        <v>0</v>
      </c>
      <c r="O126" s="234">
        <f t="shared" si="114"/>
        <v>0</v>
      </c>
      <c r="P126" s="234">
        <f t="shared" si="114"/>
        <v>0</v>
      </c>
      <c r="Q126" s="234">
        <f t="shared" si="114"/>
        <v>0</v>
      </c>
      <c r="R126" s="234">
        <f t="shared" si="114"/>
        <v>0</v>
      </c>
      <c r="S126" s="234">
        <f t="shared" si="114"/>
        <v>0</v>
      </c>
      <c r="T126" s="234">
        <f t="shared" si="114"/>
        <v>0</v>
      </c>
      <c r="U126" s="234">
        <f t="shared" si="114"/>
        <v>0</v>
      </c>
      <c r="V126" s="234">
        <f t="shared" si="114"/>
        <v>0</v>
      </c>
      <c r="W126" s="234">
        <f t="shared" si="114"/>
        <v>0</v>
      </c>
      <c r="X126" s="234">
        <f t="shared" si="114"/>
        <v>0</v>
      </c>
      <c r="Y126" s="234">
        <f t="shared" si="114"/>
        <v>0</v>
      </c>
      <c r="Z126" s="234">
        <f t="shared" si="114"/>
        <v>0</v>
      </c>
      <c r="AA126" s="234">
        <f t="shared" si="114"/>
        <v>0</v>
      </c>
      <c r="AB126" s="234">
        <f t="shared" si="114"/>
        <v>0</v>
      </c>
    </row>
    <row r="127" spans="1:28" s="114" customFormat="1" thickTop="1" x14ac:dyDescent="0.3">
      <c r="A127" s="355" t="s">
        <v>297</v>
      </c>
      <c r="B127" s="302"/>
      <c r="C127" s="233"/>
      <c r="D127" s="233">
        <f>D154</f>
        <v>0</v>
      </c>
      <c r="E127" s="233">
        <f t="shared" ref="E127:AB127" si="115">E154</f>
        <v>0</v>
      </c>
      <c r="F127" s="233">
        <f t="shared" si="115"/>
        <v>0</v>
      </c>
      <c r="G127" s="233">
        <f t="shared" si="115"/>
        <v>0</v>
      </c>
      <c r="H127" s="233">
        <f t="shared" si="115"/>
        <v>0</v>
      </c>
      <c r="I127" s="233">
        <f t="shared" si="115"/>
        <v>0</v>
      </c>
      <c r="J127" s="233">
        <f t="shared" si="115"/>
        <v>0</v>
      </c>
      <c r="K127" s="233">
        <f t="shared" si="115"/>
        <v>0</v>
      </c>
      <c r="L127" s="233">
        <f t="shared" si="115"/>
        <v>0</v>
      </c>
      <c r="M127" s="233">
        <f t="shared" si="115"/>
        <v>0</v>
      </c>
      <c r="N127" s="233">
        <f t="shared" si="115"/>
        <v>0</v>
      </c>
      <c r="O127" s="233">
        <f t="shared" si="115"/>
        <v>0</v>
      </c>
      <c r="P127" s="233">
        <f t="shared" si="115"/>
        <v>0</v>
      </c>
      <c r="Q127" s="233">
        <f t="shared" si="115"/>
        <v>0</v>
      </c>
      <c r="R127" s="233">
        <f t="shared" si="115"/>
        <v>0</v>
      </c>
      <c r="S127" s="233">
        <f t="shared" si="115"/>
        <v>0</v>
      </c>
      <c r="T127" s="233">
        <f t="shared" si="115"/>
        <v>0</v>
      </c>
      <c r="U127" s="233">
        <f t="shared" si="115"/>
        <v>0</v>
      </c>
      <c r="V127" s="233">
        <f t="shared" si="115"/>
        <v>0</v>
      </c>
      <c r="W127" s="233">
        <f t="shared" si="115"/>
        <v>0</v>
      </c>
      <c r="X127" s="233">
        <f t="shared" si="115"/>
        <v>0</v>
      </c>
      <c r="Y127" s="233">
        <f t="shared" si="115"/>
        <v>0</v>
      </c>
      <c r="Z127" s="233">
        <f t="shared" si="115"/>
        <v>0</v>
      </c>
      <c r="AA127" s="233">
        <f t="shared" si="115"/>
        <v>0</v>
      </c>
      <c r="AB127" s="233">
        <f t="shared" si="115"/>
        <v>0</v>
      </c>
    </row>
    <row r="128" spans="1:28" s="362" customFormat="1" thickBot="1" x14ac:dyDescent="0.35">
      <c r="A128" s="356" t="s">
        <v>296</v>
      </c>
      <c r="B128" s="357"/>
      <c r="C128" s="234" t="e">
        <f>-Inputs!C186*Inputs!C128</f>
        <v>#DIV/0!</v>
      </c>
      <c r="D128" s="234">
        <f>SUM(D126:D127)</f>
        <v>0</v>
      </c>
      <c r="E128" s="234">
        <f t="shared" ref="E128:AB128" si="116">SUM(E126:E127)</f>
        <v>0</v>
      </c>
      <c r="F128" s="234">
        <f t="shared" si="116"/>
        <v>0</v>
      </c>
      <c r="G128" s="234">
        <f t="shared" si="116"/>
        <v>0</v>
      </c>
      <c r="H128" s="234">
        <f t="shared" si="116"/>
        <v>0</v>
      </c>
      <c r="I128" s="234">
        <f t="shared" si="116"/>
        <v>0</v>
      </c>
      <c r="J128" s="234">
        <f t="shared" si="116"/>
        <v>0</v>
      </c>
      <c r="K128" s="234">
        <f t="shared" si="116"/>
        <v>0</v>
      </c>
      <c r="L128" s="234">
        <f t="shared" si="116"/>
        <v>0</v>
      </c>
      <c r="M128" s="234">
        <f t="shared" si="116"/>
        <v>0</v>
      </c>
      <c r="N128" s="234">
        <f t="shared" si="116"/>
        <v>0</v>
      </c>
      <c r="O128" s="234">
        <f t="shared" si="116"/>
        <v>0</v>
      </c>
      <c r="P128" s="234">
        <f t="shared" si="116"/>
        <v>0</v>
      </c>
      <c r="Q128" s="234">
        <f t="shared" si="116"/>
        <v>0</v>
      </c>
      <c r="R128" s="234">
        <f t="shared" si="116"/>
        <v>0</v>
      </c>
      <c r="S128" s="234">
        <f t="shared" si="116"/>
        <v>0</v>
      </c>
      <c r="T128" s="234">
        <f t="shared" si="116"/>
        <v>0</v>
      </c>
      <c r="U128" s="234">
        <f t="shared" si="116"/>
        <v>0</v>
      </c>
      <c r="V128" s="234">
        <f t="shared" si="116"/>
        <v>0</v>
      </c>
      <c r="W128" s="234">
        <f t="shared" si="116"/>
        <v>0</v>
      </c>
      <c r="X128" s="234">
        <f t="shared" si="116"/>
        <v>0</v>
      </c>
      <c r="Y128" s="234">
        <f t="shared" si="116"/>
        <v>0</v>
      </c>
      <c r="Z128" s="234">
        <f t="shared" si="116"/>
        <v>0</v>
      </c>
      <c r="AA128" s="234">
        <f t="shared" si="116"/>
        <v>0</v>
      </c>
      <c r="AB128" s="234">
        <f t="shared" si="116"/>
        <v>0</v>
      </c>
    </row>
    <row r="129" spans="1:28" s="362" customFormat="1" thickTop="1" x14ac:dyDescent="0.3">
      <c r="A129" s="358"/>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row>
    <row r="130" spans="1:28" s="362" customFormat="1" ht="13.8" x14ac:dyDescent="0.3">
      <c r="A130" s="358"/>
      <c r="B130" s="358"/>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row>
    <row r="131" spans="1:28" s="114" customFormat="1" ht="13.8" x14ac:dyDescent="0.3">
      <c r="A131" s="363" t="s">
        <v>405</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s="366" customFormat="1" ht="13.8" x14ac:dyDescent="0.3">
      <c r="A132" s="364" t="s">
        <v>298</v>
      </c>
      <c r="B132" s="365" t="s">
        <v>21</v>
      </c>
      <c r="C132" s="264"/>
      <c r="D132" s="264">
        <f>IF(-D127&gt;0,D124/-D127,0)</f>
        <v>0</v>
      </c>
      <c r="E132" s="264">
        <f t="shared" ref="E132:AB132" si="117">IF(-E127&gt;0,E124/-E127,0)</f>
        <v>0</v>
      </c>
      <c r="F132" s="264">
        <f t="shared" si="117"/>
        <v>0</v>
      </c>
      <c r="G132" s="264">
        <f t="shared" si="117"/>
        <v>0</v>
      </c>
      <c r="H132" s="264">
        <f t="shared" si="117"/>
        <v>0</v>
      </c>
      <c r="I132" s="264">
        <f t="shared" si="117"/>
        <v>0</v>
      </c>
      <c r="J132" s="264">
        <f t="shared" si="117"/>
        <v>0</v>
      </c>
      <c r="K132" s="264">
        <f t="shared" si="117"/>
        <v>0</v>
      </c>
      <c r="L132" s="264">
        <f t="shared" si="117"/>
        <v>0</v>
      </c>
      <c r="M132" s="264">
        <f t="shared" si="117"/>
        <v>0</v>
      </c>
      <c r="N132" s="264">
        <f t="shared" si="117"/>
        <v>0</v>
      </c>
      <c r="O132" s="264">
        <f t="shared" si="117"/>
        <v>0</v>
      </c>
      <c r="P132" s="264">
        <f t="shared" si="117"/>
        <v>0</v>
      </c>
      <c r="Q132" s="264">
        <f t="shared" si="117"/>
        <v>0</v>
      </c>
      <c r="R132" s="264">
        <f t="shared" si="117"/>
        <v>0</v>
      </c>
      <c r="S132" s="264">
        <f t="shared" si="117"/>
        <v>0</v>
      </c>
      <c r="T132" s="264">
        <f t="shared" si="117"/>
        <v>0</v>
      </c>
      <c r="U132" s="264">
        <f t="shared" si="117"/>
        <v>0</v>
      </c>
      <c r="V132" s="264">
        <f t="shared" si="117"/>
        <v>0</v>
      </c>
      <c r="W132" s="264">
        <f t="shared" si="117"/>
        <v>0</v>
      </c>
      <c r="X132" s="264">
        <f t="shared" si="117"/>
        <v>0</v>
      </c>
      <c r="Y132" s="264">
        <f t="shared" si="117"/>
        <v>0</v>
      </c>
      <c r="Z132" s="264">
        <f t="shared" si="117"/>
        <v>0</v>
      </c>
      <c r="AA132" s="264">
        <f t="shared" si="117"/>
        <v>0</v>
      </c>
      <c r="AB132" s="264">
        <f t="shared" si="117"/>
        <v>0</v>
      </c>
    </row>
    <row r="133" spans="1:28" s="366" customFormat="1" ht="13.8" x14ac:dyDescent="0.3">
      <c r="A133" s="367" t="s">
        <v>299</v>
      </c>
      <c r="B133" s="368" t="s">
        <v>21</v>
      </c>
      <c r="C133" s="265"/>
      <c r="D133" s="265">
        <f>IF(-D117&gt;0,D124/-D117,0)</f>
        <v>0</v>
      </c>
      <c r="E133" s="265">
        <f t="shared" ref="E133:AB133" si="118">IF(-E117&gt;0,E124/-E117,0)</f>
        <v>0</v>
      </c>
      <c r="F133" s="265">
        <f t="shared" si="118"/>
        <v>0</v>
      </c>
      <c r="G133" s="265">
        <f t="shared" si="118"/>
        <v>0</v>
      </c>
      <c r="H133" s="265">
        <f t="shared" si="118"/>
        <v>0</v>
      </c>
      <c r="I133" s="265">
        <f t="shared" si="118"/>
        <v>0</v>
      </c>
      <c r="J133" s="265">
        <f t="shared" si="118"/>
        <v>0</v>
      </c>
      <c r="K133" s="265">
        <f t="shared" si="118"/>
        <v>0</v>
      </c>
      <c r="L133" s="265">
        <f t="shared" si="118"/>
        <v>0</v>
      </c>
      <c r="M133" s="265">
        <f t="shared" si="118"/>
        <v>0</v>
      </c>
      <c r="N133" s="265">
        <f t="shared" si="118"/>
        <v>0</v>
      </c>
      <c r="O133" s="265">
        <f t="shared" si="118"/>
        <v>0</v>
      </c>
      <c r="P133" s="265">
        <f t="shared" si="118"/>
        <v>0</v>
      </c>
      <c r="Q133" s="265">
        <f t="shared" si="118"/>
        <v>0</v>
      </c>
      <c r="R133" s="265">
        <f t="shared" si="118"/>
        <v>0</v>
      </c>
      <c r="S133" s="265">
        <f t="shared" si="118"/>
        <v>0</v>
      </c>
      <c r="T133" s="265">
        <f t="shared" si="118"/>
        <v>0</v>
      </c>
      <c r="U133" s="265">
        <f t="shared" si="118"/>
        <v>0</v>
      </c>
      <c r="V133" s="265">
        <f t="shared" si="118"/>
        <v>0</v>
      </c>
      <c r="W133" s="265">
        <f t="shared" si="118"/>
        <v>0</v>
      </c>
      <c r="X133" s="265">
        <f t="shared" si="118"/>
        <v>0</v>
      </c>
      <c r="Y133" s="265">
        <f t="shared" si="118"/>
        <v>0</v>
      </c>
      <c r="Z133" s="265">
        <f t="shared" si="118"/>
        <v>0</v>
      </c>
      <c r="AA133" s="265">
        <f t="shared" si="118"/>
        <v>0</v>
      </c>
      <c r="AB133" s="265">
        <f t="shared" si="118"/>
        <v>0</v>
      </c>
    </row>
    <row r="134" spans="1:28" s="366" customFormat="1" ht="13.8" x14ac:dyDescent="0.3">
      <c r="A134" s="369" t="s">
        <v>300</v>
      </c>
      <c r="B134" s="370" t="s">
        <v>21</v>
      </c>
      <c r="C134" s="266"/>
      <c r="D134" s="235">
        <f>IFERROR(D111+D112+D113+D119,0)</f>
        <v>0</v>
      </c>
      <c r="E134" s="235">
        <f>IFERROR(E111+E112+E113-E24+E119,0)</f>
        <v>0</v>
      </c>
      <c r="F134" s="235">
        <f t="shared" ref="F134:AB134" si="119">IFERROR(F111+F112+F113-F24+F119,0)</f>
        <v>0</v>
      </c>
      <c r="G134" s="235">
        <f t="shared" si="119"/>
        <v>0</v>
      </c>
      <c r="H134" s="235">
        <f t="shared" si="119"/>
        <v>0</v>
      </c>
      <c r="I134" s="235">
        <f t="shared" si="119"/>
        <v>0</v>
      </c>
      <c r="J134" s="235">
        <f t="shared" si="119"/>
        <v>0</v>
      </c>
      <c r="K134" s="235">
        <f t="shared" si="119"/>
        <v>0</v>
      </c>
      <c r="L134" s="235">
        <f t="shared" si="119"/>
        <v>0</v>
      </c>
      <c r="M134" s="235">
        <f t="shared" si="119"/>
        <v>0</v>
      </c>
      <c r="N134" s="235">
        <f t="shared" si="119"/>
        <v>0</v>
      </c>
      <c r="O134" s="235">
        <f t="shared" si="119"/>
        <v>0</v>
      </c>
      <c r="P134" s="235">
        <f t="shared" si="119"/>
        <v>0</v>
      </c>
      <c r="Q134" s="235">
        <f t="shared" si="119"/>
        <v>0</v>
      </c>
      <c r="R134" s="235">
        <f t="shared" si="119"/>
        <v>0</v>
      </c>
      <c r="S134" s="235">
        <f t="shared" si="119"/>
        <v>0</v>
      </c>
      <c r="T134" s="235">
        <f t="shared" si="119"/>
        <v>0</v>
      </c>
      <c r="U134" s="235">
        <f t="shared" si="119"/>
        <v>0</v>
      </c>
      <c r="V134" s="235">
        <f t="shared" si="119"/>
        <v>0</v>
      </c>
      <c r="W134" s="235">
        <f t="shared" si="119"/>
        <v>0</v>
      </c>
      <c r="X134" s="235">
        <f t="shared" si="119"/>
        <v>0</v>
      </c>
      <c r="Y134" s="235">
        <f t="shared" si="119"/>
        <v>0</v>
      </c>
      <c r="Z134" s="235">
        <f t="shared" si="119"/>
        <v>0</v>
      </c>
      <c r="AA134" s="235">
        <f t="shared" si="119"/>
        <v>0</v>
      </c>
      <c r="AB134" s="235">
        <f t="shared" si="119"/>
        <v>0</v>
      </c>
    </row>
    <row r="135" spans="1:28" s="157" customFormat="1" ht="13.8" x14ac:dyDescent="0.3">
      <c r="A135" s="176"/>
      <c r="B135" s="61"/>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s="114" customFormat="1" ht="13.8" x14ac:dyDescent="0.3">
      <c r="A136" s="371"/>
      <c r="B136" s="47"/>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row>
    <row r="137" spans="1:28" s="114" customFormat="1" ht="13.8" x14ac:dyDescent="0.3">
      <c r="A137" s="372" t="s">
        <v>402</v>
      </c>
      <c r="B137" s="47"/>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row>
    <row r="138" spans="1:28" s="114" customFormat="1" ht="13.8" x14ac:dyDescent="0.3">
      <c r="A138" s="373" t="s">
        <v>302</v>
      </c>
      <c r="B138" s="238" t="e">
        <f>NPV(Inputs!D187,C126:AB126)</f>
        <v>#DIV/0!</v>
      </c>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s="114" customFormat="1" ht="13.8" x14ac:dyDescent="0.3">
      <c r="A139" s="373" t="s">
        <v>304</v>
      </c>
      <c r="B139" s="267" t="e">
        <f>IRR(C126:AB126,Inputs!D187)</f>
        <v>#DIV/0!</v>
      </c>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s="114" customFormat="1" ht="13.8" x14ac:dyDescent="0.3">
      <c r="A140" s="373" t="s">
        <v>202</v>
      </c>
      <c r="B140" s="267" t="e">
        <f>IRR(Calculations!C128:AB128,Inputs!C187)</f>
        <v>#DIV/0!</v>
      </c>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s="114" customFormat="1" ht="13.8" x14ac:dyDescent="0.3">
      <c r="A141" s="374"/>
      <c r="B141" s="61"/>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row>
    <row r="142" spans="1:28" s="114" customFormat="1" ht="13.8" x14ac:dyDescent="0.3">
      <c r="A142" s="47"/>
      <c r="B142" s="61"/>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row>
    <row r="143" spans="1:28" x14ac:dyDescent="0.3">
      <c r="A143" s="372" t="s">
        <v>406</v>
      </c>
    </row>
    <row r="144" spans="1:28" s="114" customFormat="1" ht="13.8" x14ac:dyDescent="0.3">
      <c r="A144" s="358"/>
      <c r="B144" s="376"/>
      <c r="C144" s="376"/>
      <c r="D144" s="376"/>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1:117" s="114" customFormat="1" ht="13.8" x14ac:dyDescent="0.3">
      <c r="A145" s="377" t="s">
        <v>287</v>
      </c>
      <c r="B145" s="378"/>
      <c r="C145" s="60"/>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1:117" s="114" customFormat="1" ht="13.8" x14ac:dyDescent="0.3">
      <c r="A146" s="379" t="s">
        <v>288</v>
      </c>
      <c r="B146" s="40">
        <f>Inputs!C169</f>
        <v>0</v>
      </c>
      <c r="C146" s="60"/>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1:117" s="114" customFormat="1" ht="13.8" x14ac:dyDescent="0.3">
      <c r="A147" s="380" t="s">
        <v>289</v>
      </c>
      <c r="B147" s="40">
        <f>Inputs!C178*Inputs!C169</f>
        <v>0</v>
      </c>
      <c r="C147" s="60"/>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1:117" s="114" customFormat="1" thickBot="1" x14ac:dyDescent="0.35">
      <c r="A148" s="381" t="s">
        <v>290</v>
      </c>
      <c r="B148" s="268">
        <f>SUM(B146:B147)</f>
        <v>0</v>
      </c>
      <c r="C148" s="60"/>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1:117" s="114" customFormat="1" thickTop="1" x14ac:dyDescent="0.3">
      <c r="A149" s="379" t="s">
        <v>291</v>
      </c>
      <c r="B149" s="40">
        <f>Inputs!C177</f>
        <v>0</v>
      </c>
      <c r="C149" s="60"/>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1:117" s="114" customFormat="1" ht="13.8" x14ac:dyDescent="0.3">
      <c r="A150" s="380" t="s">
        <v>292</v>
      </c>
      <c r="B150" s="154">
        <f>Inputs!C179</f>
        <v>0</v>
      </c>
      <c r="C150" s="382"/>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1:117" s="114" customFormat="1" ht="13.8" x14ac:dyDescent="0.3">
      <c r="A151" s="47"/>
      <c r="B151" s="60"/>
      <c r="C151" s="60"/>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1:117" s="61" customFormat="1" x14ac:dyDescent="0.3">
      <c r="A152" s="57"/>
      <c r="C152" s="155" t="s">
        <v>150</v>
      </c>
      <c r="D152" s="156">
        <v>1</v>
      </c>
      <c r="E152" s="156">
        <f>D152+1</f>
        <v>2</v>
      </c>
      <c r="F152" s="156">
        <f t="shared" ref="F152" si="120">E152+1</f>
        <v>3</v>
      </c>
      <c r="G152" s="156">
        <f t="shared" ref="G152" si="121">F152+1</f>
        <v>4</v>
      </c>
      <c r="H152" s="156">
        <f t="shared" ref="H152" si="122">G152+1</f>
        <v>5</v>
      </c>
      <c r="I152" s="156">
        <f t="shared" ref="I152" si="123">H152+1</f>
        <v>6</v>
      </c>
      <c r="J152" s="156">
        <f t="shared" ref="J152" si="124">I152+1</f>
        <v>7</v>
      </c>
      <c r="K152" s="156">
        <f t="shared" ref="K152" si="125">J152+1</f>
        <v>8</v>
      </c>
      <c r="L152" s="156">
        <f t="shared" ref="L152" si="126">K152+1</f>
        <v>9</v>
      </c>
      <c r="M152" s="156">
        <f t="shared" ref="M152" si="127">L152+1</f>
        <v>10</v>
      </c>
      <c r="N152" s="156">
        <f t="shared" ref="N152" si="128">M152+1</f>
        <v>11</v>
      </c>
      <c r="O152" s="156">
        <f t="shared" ref="O152" si="129">N152+1</f>
        <v>12</v>
      </c>
      <c r="P152" s="156">
        <f t="shared" ref="P152" si="130">O152+1</f>
        <v>13</v>
      </c>
      <c r="Q152" s="156">
        <f t="shared" ref="Q152" si="131">P152+1</f>
        <v>14</v>
      </c>
      <c r="R152" s="156">
        <f t="shared" ref="R152" si="132">Q152+1</f>
        <v>15</v>
      </c>
      <c r="S152" s="156">
        <f t="shared" ref="S152" si="133">R152+1</f>
        <v>16</v>
      </c>
      <c r="T152" s="156">
        <f t="shared" ref="T152" si="134">S152+1</f>
        <v>17</v>
      </c>
      <c r="U152" s="156">
        <f t="shared" ref="U152" si="135">T152+1</f>
        <v>18</v>
      </c>
      <c r="V152" s="156">
        <f t="shared" ref="V152" si="136">U152+1</f>
        <v>19</v>
      </c>
      <c r="W152" s="156">
        <f t="shared" ref="W152" si="137">V152+1</f>
        <v>20</v>
      </c>
      <c r="X152" s="156">
        <f t="shared" ref="X152" si="138">W152+1</f>
        <v>21</v>
      </c>
      <c r="Y152" s="156">
        <f t="shared" ref="Y152" si="139">X152+1</f>
        <v>22</v>
      </c>
      <c r="Z152" s="156">
        <f t="shared" ref="Z152" si="140">Y152+1</f>
        <v>23</v>
      </c>
      <c r="AA152" s="156">
        <f t="shared" ref="AA152" si="141">Z152+1</f>
        <v>24</v>
      </c>
      <c r="AB152" s="156">
        <f t="shared" ref="AB152" si="142">AA152+1</f>
        <v>25</v>
      </c>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7"/>
      <c r="DJ152" s="157"/>
      <c r="DK152" s="157"/>
      <c r="DL152" s="157"/>
      <c r="DM152" s="157"/>
    </row>
    <row r="153" spans="1:117" s="114" customFormat="1" ht="13.8" x14ac:dyDescent="0.3">
      <c r="A153" s="377" t="s">
        <v>293</v>
      </c>
      <c r="B153" s="378"/>
      <c r="C153" s="60"/>
      <c r="D153" s="60"/>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117" s="114" customFormat="1" ht="13.8" x14ac:dyDescent="0.3">
      <c r="A154" s="383" t="s">
        <v>294</v>
      </c>
      <c r="B154" s="384"/>
      <c r="C154" s="269"/>
      <c r="D154" s="270">
        <f t="shared" ref="D154:AB154" si="143">IF(D152&gt;$B$149,0,PMT($B$150,$B$149,$B$148))</f>
        <v>0</v>
      </c>
      <c r="E154" s="270">
        <f t="shared" si="143"/>
        <v>0</v>
      </c>
      <c r="F154" s="270">
        <f t="shared" si="143"/>
        <v>0</v>
      </c>
      <c r="G154" s="270">
        <f t="shared" si="143"/>
        <v>0</v>
      </c>
      <c r="H154" s="270">
        <f t="shared" si="143"/>
        <v>0</v>
      </c>
      <c r="I154" s="270">
        <f t="shared" si="143"/>
        <v>0</v>
      </c>
      <c r="J154" s="270">
        <f t="shared" si="143"/>
        <v>0</v>
      </c>
      <c r="K154" s="270">
        <f t="shared" si="143"/>
        <v>0</v>
      </c>
      <c r="L154" s="270">
        <f t="shared" si="143"/>
        <v>0</v>
      </c>
      <c r="M154" s="270">
        <f t="shared" si="143"/>
        <v>0</v>
      </c>
      <c r="N154" s="270">
        <f t="shared" si="143"/>
        <v>0</v>
      </c>
      <c r="O154" s="270">
        <f t="shared" si="143"/>
        <v>0</v>
      </c>
      <c r="P154" s="270">
        <f t="shared" si="143"/>
        <v>0</v>
      </c>
      <c r="Q154" s="270">
        <f t="shared" si="143"/>
        <v>0</v>
      </c>
      <c r="R154" s="270">
        <f t="shared" si="143"/>
        <v>0</v>
      </c>
      <c r="S154" s="270">
        <f t="shared" si="143"/>
        <v>0</v>
      </c>
      <c r="T154" s="270">
        <f t="shared" si="143"/>
        <v>0</v>
      </c>
      <c r="U154" s="270">
        <f t="shared" si="143"/>
        <v>0</v>
      </c>
      <c r="V154" s="270">
        <f t="shared" si="143"/>
        <v>0</v>
      </c>
      <c r="W154" s="270">
        <f t="shared" si="143"/>
        <v>0</v>
      </c>
      <c r="X154" s="270">
        <f t="shared" si="143"/>
        <v>0</v>
      </c>
      <c r="Y154" s="270">
        <f t="shared" si="143"/>
        <v>0</v>
      </c>
      <c r="Z154" s="270">
        <f t="shared" si="143"/>
        <v>0</v>
      </c>
      <c r="AA154" s="270">
        <f t="shared" si="143"/>
        <v>0</v>
      </c>
      <c r="AB154" s="270">
        <f t="shared" si="143"/>
        <v>0</v>
      </c>
    </row>
    <row r="155" spans="1:117" s="114" customFormat="1" ht="13.8" x14ac:dyDescent="0.3">
      <c r="A155" s="386" t="s">
        <v>263</v>
      </c>
      <c r="B155" s="59"/>
      <c r="C155" s="12"/>
      <c r="D155" s="14">
        <f t="shared" ref="D155:AB155" si="144">IF(C157&gt;0,-$B$150*C157,0)</f>
        <v>0</v>
      </c>
      <c r="E155" s="14">
        <f t="shared" si="144"/>
        <v>0</v>
      </c>
      <c r="F155" s="14">
        <f t="shared" si="144"/>
        <v>0</v>
      </c>
      <c r="G155" s="14">
        <f t="shared" si="144"/>
        <v>0</v>
      </c>
      <c r="H155" s="14">
        <f t="shared" si="144"/>
        <v>0</v>
      </c>
      <c r="I155" s="14">
        <f t="shared" si="144"/>
        <v>0</v>
      </c>
      <c r="J155" s="14">
        <f t="shared" si="144"/>
        <v>0</v>
      </c>
      <c r="K155" s="14">
        <f t="shared" si="144"/>
        <v>0</v>
      </c>
      <c r="L155" s="14">
        <f t="shared" si="144"/>
        <v>0</v>
      </c>
      <c r="M155" s="14">
        <f t="shared" si="144"/>
        <v>0</v>
      </c>
      <c r="N155" s="14">
        <f t="shared" si="144"/>
        <v>0</v>
      </c>
      <c r="O155" s="14">
        <f t="shared" si="144"/>
        <v>0</v>
      </c>
      <c r="P155" s="14">
        <f t="shared" si="144"/>
        <v>0</v>
      </c>
      <c r="Q155" s="14">
        <f t="shared" si="144"/>
        <v>0</v>
      </c>
      <c r="R155" s="14">
        <f t="shared" si="144"/>
        <v>0</v>
      </c>
      <c r="S155" s="14">
        <f t="shared" si="144"/>
        <v>0</v>
      </c>
      <c r="T155" s="14">
        <f t="shared" si="144"/>
        <v>0</v>
      </c>
      <c r="U155" s="14">
        <f t="shared" si="144"/>
        <v>0</v>
      </c>
      <c r="V155" s="14">
        <f t="shared" si="144"/>
        <v>0</v>
      </c>
      <c r="W155" s="14">
        <f t="shared" si="144"/>
        <v>0</v>
      </c>
      <c r="X155" s="14">
        <f t="shared" si="144"/>
        <v>0</v>
      </c>
      <c r="Y155" s="14">
        <f t="shared" si="144"/>
        <v>0</v>
      </c>
      <c r="Z155" s="14">
        <f t="shared" si="144"/>
        <v>0</v>
      </c>
      <c r="AA155" s="14">
        <f t="shared" si="144"/>
        <v>0</v>
      </c>
      <c r="AB155" s="14">
        <f t="shared" si="144"/>
        <v>0</v>
      </c>
    </row>
    <row r="156" spans="1:117" s="114" customFormat="1" ht="13.8" x14ac:dyDescent="0.3">
      <c r="A156" s="387" t="s">
        <v>288</v>
      </c>
      <c r="B156" s="385"/>
      <c r="C156" s="269"/>
      <c r="D156" s="270">
        <f t="shared" ref="D156:AB156" si="145">IF(C157&gt;0,D154-D155,0)</f>
        <v>0</v>
      </c>
      <c r="E156" s="270">
        <f t="shared" si="145"/>
        <v>0</v>
      </c>
      <c r="F156" s="270">
        <f t="shared" si="145"/>
        <v>0</v>
      </c>
      <c r="G156" s="270">
        <f t="shared" si="145"/>
        <v>0</v>
      </c>
      <c r="H156" s="270">
        <f t="shared" si="145"/>
        <v>0</v>
      </c>
      <c r="I156" s="270">
        <f t="shared" si="145"/>
        <v>0</v>
      </c>
      <c r="J156" s="270">
        <f t="shared" si="145"/>
        <v>0</v>
      </c>
      <c r="K156" s="270">
        <f t="shared" si="145"/>
        <v>0</v>
      </c>
      <c r="L156" s="270">
        <f t="shared" si="145"/>
        <v>0</v>
      </c>
      <c r="M156" s="270">
        <f t="shared" si="145"/>
        <v>0</v>
      </c>
      <c r="N156" s="270">
        <f t="shared" si="145"/>
        <v>0</v>
      </c>
      <c r="O156" s="270">
        <f t="shared" si="145"/>
        <v>0</v>
      </c>
      <c r="P156" s="270">
        <f t="shared" si="145"/>
        <v>0</v>
      </c>
      <c r="Q156" s="270">
        <f t="shared" si="145"/>
        <v>0</v>
      </c>
      <c r="R156" s="270">
        <f t="shared" si="145"/>
        <v>0</v>
      </c>
      <c r="S156" s="270">
        <f t="shared" si="145"/>
        <v>0</v>
      </c>
      <c r="T156" s="270">
        <f t="shared" si="145"/>
        <v>0</v>
      </c>
      <c r="U156" s="270">
        <f t="shared" si="145"/>
        <v>0</v>
      </c>
      <c r="V156" s="270">
        <f t="shared" si="145"/>
        <v>0</v>
      </c>
      <c r="W156" s="270">
        <f t="shared" si="145"/>
        <v>0</v>
      </c>
      <c r="X156" s="270">
        <f t="shared" si="145"/>
        <v>0</v>
      </c>
      <c r="Y156" s="270">
        <f t="shared" si="145"/>
        <v>0</v>
      </c>
      <c r="Z156" s="270">
        <f t="shared" si="145"/>
        <v>0</v>
      </c>
      <c r="AA156" s="270">
        <f t="shared" si="145"/>
        <v>0</v>
      </c>
      <c r="AB156" s="270">
        <f t="shared" si="145"/>
        <v>0</v>
      </c>
    </row>
    <row r="157" spans="1:117" s="114" customFormat="1" ht="13.8" x14ac:dyDescent="0.3">
      <c r="A157" s="386" t="s">
        <v>295</v>
      </c>
      <c r="B157" s="59"/>
      <c r="C157" s="11">
        <f>B148</f>
        <v>0</v>
      </c>
      <c r="D157" s="14">
        <f t="shared" ref="D157:AB157" si="146">C157+D156</f>
        <v>0</v>
      </c>
      <c r="E157" s="14">
        <f t="shared" si="146"/>
        <v>0</v>
      </c>
      <c r="F157" s="14">
        <f t="shared" si="146"/>
        <v>0</v>
      </c>
      <c r="G157" s="14">
        <f t="shared" si="146"/>
        <v>0</v>
      </c>
      <c r="H157" s="14">
        <f t="shared" si="146"/>
        <v>0</v>
      </c>
      <c r="I157" s="14">
        <f t="shared" si="146"/>
        <v>0</v>
      </c>
      <c r="J157" s="14">
        <f t="shared" si="146"/>
        <v>0</v>
      </c>
      <c r="K157" s="14">
        <f t="shared" si="146"/>
        <v>0</v>
      </c>
      <c r="L157" s="14">
        <f t="shared" si="146"/>
        <v>0</v>
      </c>
      <c r="M157" s="14">
        <f t="shared" si="146"/>
        <v>0</v>
      </c>
      <c r="N157" s="14">
        <f t="shared" si="146"/>
        <v>0</v>
      </c>
      <c r="O157" s="14">
        <f t="shared" si="146"/>
        <v>0</v>
      </c>
      <c r="P157" s="14">
        <f t="shared" si="146"/>
        <v>0</v>
      </c>
      <c r="Q157" s="14">
        <f t="shared" si="146"/>
        <v>0</v>
      </c>
      <c r="R157" s="14">
        <f t="shared" si="146"/>
        <v>0</v>
      </c>
      <c r="S157" s="14">
        <f t="shared" si="146"/>
        <v>0</v>
      </c>
      <c r="T157" s="14">
        <f t="shared" si="146"/>
        <v>0</v>
      </c>
      <c r="U157" s="14">
        <f t="shared" si="146"/>
        <v>0</v>
      </c>
      <c r="V157" s="14">
        <f t="shared" si="146"/>
        <v>0</v>
      </c>
      <c r="W157" s="14">
        <f t="shared" si="146"/>
        <v>0</v>
      </c>
      <c r="X157" s="14">
        <f t="shared" si="146"/>
        <v>0</v>
      </c>
      <c r="Y157" s="14">
        <f t="shared" si="146"/>
        <v>0</v>
      </c>
      <c r="Z157" s="14">
        <f t="shared" si="146"/>
        <v>0</v>
      </c>
      <c r="AA157" s="14">
        <f t="shared" si="146"/>
        <v>0</v>
      </c>
      <c r="AB157" s="14">
        <f t="shared" si="146"/>
        <v>0</v>
      </c>
    </row>
    <row r="158" spans="1:117" s="114" customFormat="1" ht="13.8" x14ac:dyDescent="0.3">
      <c r="A158" s="388"/>
      <c r="B158" s="389"/>
      <c r="C158" s="389"/>
      <c r="D158" s="390"/>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row>
    <row r="159" spans="1:117" s="114" customFormat="1" ht="13.8" x14ac:dyDescent="0.3">
      <c r="A159" s="47"/>
      <c r="B159" s="47"/>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row>
    <row r="161" spans="1:132" x14ac:dyDescent="0.3">
      <c r="A161" s="277" t="s">
        <v>403</v>
      </c>
    </row>
    <row r="162" spans="1:132" x14ac:dyDescent="0.3">
      <c r="A162" s="64"/>
      <c r="B162" s="64" t="s">
        <v>47</v>
      </c>
      <c r="C162" s="64" t="s">
        <v>186</v>
      </c>
    </row>
    <row r="163" spans="1:132" s="61" customFormat="1" ht="13.8" x14ac:dyDescent="0.3">
      <c r="A163" s="294" t="str">
        <f>Outputs!A137</f>
        <v>Avoided costs to the customer</v>
      </c>
      <c r="B163" s="391" t="str">
        <f>Inputs!B24</f>
        <v>NGN</v>
      </c>
      <c r="C163" s="271" t="e">
        <f>Inputs!H205</f>
        <v>#DIV/0!</v>
      </c>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c r="CW163" s="157"/>
      <c r="CX163" s="157"/>
      <c r="CY163" s="157"/>
      <c r="CZ163" s="157"/>
      <c r="DA163" s="157"/>
      <c r="DB163" s="157"/>
      <c r="DC163" s="157"/>
      <c r="DD163" s="157"/>
      <c r="DE163" s="157"/>
      <c r="DF163" s="157"/>
      <c r="DG163" s="157"/>
      <c r="DH163" s="157"/>
      <c r="DI163" s="157"/>
      <c r="DJ163" s="157"/>
      <c r="DK163" s="157"/>
      <c r="DL163" s="157"/>
      <c r="DM163" s="157"/>
      <c r="DN163" s="157"/>
      <c r="DO163" s="157"/>
      <c r="DP163" s="157"/>
      <c r="DQ163" s="157"/>
      <c r="DR163" s="157"/>
      <c r="DS163" s="157"/>
      <c r="DT163" s="157"/>
      <c r="DU163" s="157"/>
      <c r="DV163" s="157"/>
      <c r="DW163" s="157"/>
      <c r="DX163" s="157"/>
      <c r="DY163" s="157"/>
      <c r="DZ163" s="157"/>
      <c r="EA163" s="157"/>
      <c r="EB163" s="157"/>
    </row>
    <row r="164" spans="1:132" s="61" customFormat="1" ht="13.8" x14ac:dyDescent="0.3">
      <c r="A164" s="294" t="str">
        <f>Outputs!A138</f>
        <v xml:space="preserve">Average cost per connection </v>
      </c>
      <c r="B164" s="391" t="str">
        <f>Inputs!B24</f>
        <v>NGN</v>
      </c>
      <c r="C164" s="271" t="e">
        <f>SUM(Inputs!C40+Inputs!C59+Inputs!C77+Inputs!C95+Inputs!C113)/Inputs!B205</f>
        <v>#DIV/0!</v>
      </c>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c r="CL164" s="157"/>
      <c r="CM164" s="157"/>
      <c r="CN164" s="157"/>
      <c r="CO164" s="157"/>
      <c r="CP164" s="157"/>
      <c r="CQ164" s="157"/>
      <c r="CR164" s="157"/>
      <c r="CS164" s="157"/>
      <c r="CT164" s="157"/>
      <c r="CU164" s="157"/>
      <c r="CV164" s="157"/>
      <c r="CW164" s="157"/>
      <c r="CX164" s="157"/>
      <c r="CY164" s="157"/>
      <c r="CZ164" s="157"/>
      <c r="DA164" s="157"/>
      <c r="DB164" s="157"/>
      <c r="DC164" s="157"/>
      <c r="DD164" s="157"/>
      <c r="DE164" s="157"/>
      <c r="DF164" s="157"/>
      <c r="DG164" s="157"/>
      <c r="DH164" s="157"/>
      <c r="DI164" s="157"/>
      <c r="DJ164" s="157"/>
      <c r="DK164" s="157"/>
      <c r="DL164" s="157"/>
      <c r="DM164" s="157"/>
      <c r="DN164" s="157"/>
      <c r="DO164" s="157"/>
      <c r="DP164" s="157"/>
      <c r="DQ164" s="157"/>
      <c r="DR164" s="157"/>
      <c r="DS164" s="157"/>
      <c r="DT164" s="157"/>
      <c r="DU164" s="157"/>
      <c r="DV164" s="157"/>
      <c r="DW164" s="157"/>
      <c r="DX164" s="157"/>
      <c r="DY164" s="157"/>
      <c r="DZ164" s="157"/>
      <c r="EA164" s="157"/>
      <c r="EB164" s="157"/>
    </row>
    <row r="165" spans="1:132" s="61" customFormat="1" ht="13.8" x14ac:dyDescent="0.3">
      <c r="A165" s="294" t="str">
        <f>Outputs!A139</f>
        <v>Avoided costs to the utility (cost of connection for the utility providing services)</v>
      </c>
      <c r="B165" s="391" t="str">
        <f>Inputs!B24</f>
        <v>NGN</v>
      </c>
      <c r="C165" s="271"/>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c r="CL165" s="157"/>
      <c r="CM165" s="157"/>
      <c r="CN165" s="157"/>
      <c r="CO165" s="157"/>
      <c r="CP165" s="157"/>
      <c r="CQ165" s="157"/>
      <c r="CR165" s="157"/>
      <c r="CS165" s="157"/>
      <c r="CT165" s="157"/>
      <c r="CU165" s="157"/>
      <c r="CV165" s="157"/>
      <c r="CW165" s="157"/>
      <c r="CX165" s="157"/>
      <c r="CY165" s="157"/>
      <c r="CZ165" s="157"/>
      <c r="DA165" s="157"/>
      <c r="DB165" s="157"/>
      <c r="DC165" s="157"/>
      <c r="DD165" s="157"/>
      <c r="DE165" s="157"/>
      <c r="DF165" s="157"/>
      <c r="DG165" s="157"/>
      <c r="DH165" s="157"/>
      <c r="DI165" s="157"/>
      <c r="DJ165" s="157"/>
      <c r="DK165" s="157"/>
      <c r="DL165" s="157"/>
      <c r="DM165" s="157"/>
      <c r="DN165" s="157"/>
      <c r="DO165" s="157"/>
      <c r="DP165" s="157"/>
      <c r="DQ165" s="157"/>
      <c r="DR165" s="157"/>
      <c r="DS165" s="157"/>
      <c r="DT165" s="157"/>
      <c r="DU165" s="157"/>
      <c r="DV165" s="157"/>
      <c r="DW165" s="157"/>
      <c r="DX165" s="157"/>
      <c r="DY165" s="157"/>
      <c r="DZ165" s="157"/>
      <c r="EA165" s="157"/>
      <c r="EB165" s="157"/>
    </row>
    <row r="166" spans="1:132" s="61" customFormat="1" ht="13.8" x14ac:dyDescent="0.3">
      <c r="A166" s="294" t="str">
        <f>Outputs!A140</f>
        <v>Total capex per kW</v>
      </c>
      <c r="B166" s="391" t="str">
        <f>Inputs!B24</f>
        <v>NGN</v>
      </c>
      <c r="C166" s="271" t="e">
        <f>IF(Inputs!B5="kWp",Inputs!C126/Inputs!C5,Inputs!C126/(Inputs!C5*1000))</f>
        <v>#DIV/0!</v>
      </c>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c r="CL166" s="157"/>
      <c r="CM166" s="157"/>
      <c r="CN166" s="157"/>
      <c r="CO166" s="157"/>
      <c r="CP166" s="157"/>
      <c r="CQ166" s="157"/>
      <c r="CR166" s="157"/>
      <c r="CS166" s="157"/>
      <c r="CT166" s="157"/>
      <c r="CU166" s="157"/>
      <c r="CV166" s="157"/>
      <c r="CW166" s="157"/>
      <c r="CX166" s="157"/>
      <c r="CY166" s="157"/>
      <c r="CZ166" s="157"/>
      <c r="DA166" s="157"/>
      <c r="DB166" s="157"/>
      <c r="DC166" s="157"/>
      <c r="DD166" s="157"/>
      <c r="DE166" s="157"/>
      <c r="DF166" s="157"/>
      <c r="DG166" s="157"/>
      <c r="DH166" s="157"/>
      <c r="DI166" s="157"/>
      <c r="DJ166" s="157"/>
      <c r="DK166" s="157"/>
      <c r="DL166" s="157"/>
      <c r="DM166" s="157"/>
      <c r="DN166" s="157"/>
      <c r="DO166" s="157"/>
      <c r="DP166" s="157"/>
      <c r="DQ166" s="157"/>
      <c r="DR166" s="157"/>
      <c r="DS166" s="157"/>
      <c r="DT166" s="157"/>
      <c r="DU166" s="157"/>
      <c r="DV166" s="157"/>
      <c r="DW166" s="157"/>
      <c r="DX166" s="157"/>
      <c r="DY166" s="157"/>
      <c r="DZ166" s="157"/>
      <c r="EA166" s="157"/>
      <c r="EB166" s="157"/>
    </row>
    <row r="167" spans="1:132" s="61" customFormat="1" ht="13.8" x14ac:dyDescent="0.3">
      <c r="A167" s="294" t="str">
        <f>Outputs!A141</f>
        <v>Generation capex per kW</v>
      </c>
      <c r="B167" s="391" t="str">
        <f>Inputs!B25</f>
        <v>NGN</v>
      </c>
      <c r="C167" s="271" t="e">
        <f>C166-C168-C169</f>
        <v>#DIV/0!</v>
      </c>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7"/>
      <c r="AY167" s="157"/>
      <c r="AZ167" s="157"/>
      <c r="BA167" s="157"/>
      <c r="BB167" s="157"/>
      <c r="BC167" s="157"/>
      <c r="BD167" s="157"/>
      <c r="BE167" s="157"/>
      <c r="BF167" s="157"/>
      <c r="BG167" s="157"/>
      <c r="BH167" s="157"/>
      <c r="BI167" s="157"/>
      <c r="BJ167" s="157"/>
      <c r="BK167" s="157"/>
      <c r="BL167" s="157"/>
      <c r="BM167" s="157"/>
      <c r="BN167" s="157"/>
      <c r="BO167" s="157"/>
      <c r="BP167" s="157"/>
      <c r="BQ167" s="157"/>
      <c r="BR167" s="157"/>
      <c r="BS167" s="157"/>
      <c r="BT167" s="157"/>
      <c r="BU167" s="157"/>
      <c r="BV167" s="157"/>
      <c r="BW167" s="157"/>
      <c r="BX167" s="157"/>
      <c r="BY167" s="157"/>
      <c r="BZ167" s="157"/>
      <c r="CA167" s="157"/>
      <c r="CB167" s="157"/>
      <c r="CC167" s="157"/>
      <c r="CD167" s="157"/>
      <c r="CE167" s="157"/>
      <c r="CF167" s="157"/>
      <c r="CG167" s="157"/>
      <c r="CH167" s="157"/>
      <c r="CI167" s="157"/>
      <c r="CJ167" s="157"/>
      <c r="CK167" s="157"/>
      <c r="CL167" s="157"/>
      <c r="CM167" s="157"/>
      <c r="CN167" s="157"/>
      <c r="CO167" s="157"/>
      <c r="CP167" s="157"/>
      <c r="CQ167" s="157"/>
      <c r="CR167" s="157"/>
      <c r="CS167" s="157"/>
      <c r="CT167" s="157"/>
      <c r="CU167" s="157"/>
      <c r="CV167" s="157"/>
      <c r="CW167" s="157"/>
      <c r="CX167" s="157"/>
      <c r="CY167" s="157"/>
      <c r="CZ167" s="157"/>
      <c r="DA167" s="157"/>
      <c r="DB167" s="157"/>
      <c r="DC167" s="157"/>
      <c r="DD167" s="157"/>
      <c r="DE167" s="157"/>
      <c r="DF167" s="157"/>
      <c r="DG167" s="157"/>
      <c r="DH167" s="157"/>
      <c r="DI167" s="157"/>
      <c r="DJ167" s="157"/>
      <c r="DK167" s="157"/>
      <c r="DL167" s="157"/>
      <c r="DM167" s="157"/>
      <c r="DN167" s="157"/>
      <c r="DO167" s="157"/>
      <c r="DP167" s="157"/>
      <c r="DQ167" s="157"/>
      <c r="DR167" s="157"/>
      <c r="DS167" s="157"/>
      <c r="DT167" s="157"/>
      <c r="DU167" s="157"/>
      <c r="DV167" s="157"/>
      <c r="DW167" s="157"/>
      <c r="DX167" s="157"/>
      <c r="DY167" s="157"/>
      <c r="DZ167" s="157"/>
      <c r="EA167" s="157"/>
      <c r="EB167" s="157"/>
    </row>
    <row r="168" spans="1:132" s="61" customFormat="1" ht="13.8" x14ac:dyDescent="0.3">
      <c r="A168" s="294" t="str">
        <f>Outputs!A142</f>
        <v>Distribution capex per kW</v>
      </c>
      <c r="B168" s="391" t="str">
        <f>Inputs!B26</f>
        <v>NGN</v>
      </c>
      <c r="C168" s="271" t="e">
        <f>IF(Inputs!B5="kWp",SUM(Inputs!C38+Inputs!C39+Inputs!C57+Inputs!C58+Inputs!C75+Inputs!C76+Inputs!C93+Inputs!C94+Inputs!C111+Inputs!C112)/Inputs!C5,SUM(Inputs!C38+Inputs!C39+Inputs!C57+Inputs!C58+Inputs!C75+Inputs!C76+Inputs!C93+Inputs!C94+Inputs!C111+Inputs!C112)/Inputs!C5*1000)</f>
        <v>#DIV/0!</v>
      </c>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157"/>
      <c r="CR168" s="157"/>
      <c r="CS168" s="157"/>
      <c r="CT168" s="157"/>
      <c r="CU168" s="157"/>
      <c r="CV168" s="157"/>
      <c r="CW168" s="157"/>
      <c r="CX168" s="157"/>
      <c r="CY168" s="157"/>
      <c r="CZ168" s="157"/>
      <c r="DA168" s="157"/>
      <c r="DB168" s="157"/>
      <c r="DC168" s="157"/>
      <c r="DD168" s="157"/>
      <c r="DE168" s="157"/>
      <c r="DF168" s="157"/>
      <c r="DG168" s="157"/>
      <c r="DH168" s="157"/>
      <c r="DI168" s="157"/>
      <c r="DJ168" s="157"/>
      <c r="DK168" s="157"/>
      <c r="DL168" s="157"/>
      <c r="DM168" s="157"/>
      <c r="DN168" s="157"/>
      <c r="DO168" s="157"/>
      <c r="DP168" s="157"/>
      <c r="DQ168" s="157"/>
      <c r="DR168" s="157"/>
      <c r="DS168" s="157"/>
      <c r="DT168" s="157"/>
      <c r="DU168" s="157"/>
      <c r="DV168" s="157"/>
      <c r="DW168" s="157"/>
      <c r="DX168" s="157"/>
      <c r="DY168" s="157"/>
      <c r="DZ168" s="157"/>
      <c r="EA168" s="157"/>
      <c r="EB168" s="157"/>
    </row>
    <row r="169" spans="1:132" s="61" customFormat="1" ht="13.8" x14ac:dyDescent="0.3">
      <c r="A169" s="294" t="str">
        <f>Outputs!A143</f>
        <v>Metering &amp; termination capex per kW</v>
      </c>
      <c r="B169" s="391" t="str">
        <f>Inputs!B27</f>
        <v>NGN</v>
      </c>
      <c r="C169" s="271" t="e">
        <f>IF(Inputs!B5="kWp",(Inputs!C40+Inputs!C59+Inputs!C77+Inputs!C95+Inputs!C113)/Inputs!C5,(Inputs!C40+Inputs!C59+Inputs!C77+Inputs!C95+Inputs!C113)/Inputs!C5*1000)</f>
        <v>#DIV/0!</v>
      </c>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157"/>
      <c r="CR169" s="157"/>
      <c r="CS169" s="157"/>
      <c r="CT169" s="157"/>
      <c r="CU169" s="157"/>
      <c r="CV169" s="157"/>
      <c r="CW169" s="157"/>
      <c r="CX169" s="157"/>
      <c r="CY169" s="157"/>
      <c r="CZ169" s="157"/>
      <c r="DA169" s="157"/>
      <c r="DB169" s="157"/>
      <c r="DC169" s="157"/>
      <c r="DD169" s="157"/>
      <c r="DE169" s="157"/>
      <c r="DF169" s="157"/>
      <c r="DG169" s="157"/>
      <c r="DH169" s="157"/>
      <c r="DI169" s="157"/>
      <c r="DJ169" s="157"/>
      <c r="DK169" s="157"/>
      <c r="DL169" s="157"/>
      <c r="DM169" s="157"/>
      <c r="DN169" s="157"/>
      <c r="DO169" s="157"/>
      <c r="DP169" s="157"/>
      <c r="DQ169" s="157"/>
      <c r="DR169" s="157"/>
      <c r="DS169" s="157"/>
      <c r="DT169" s="157"/>
      <c r="DU169" s="157"/>
      <c r="DV169" s="157"/>
      <c r="DW169" s="157"/>
      <c r="DX169" s="157"/>
      <c r="DY169" s="157"/>
      <c r="DZ169" s="157"/>
      <c r="EA169" s="157"/>
      <c r="EB169" s="157"/>
    </row>
    <row r="170" spans="1:132" s="61" customFormat="1" ht="13.8" x14ac:dyDescent="0.3">
      <c r="A170" s="294" t="str">
        <f>Outputs!A144</f>
        <v>Opex per kW</v>
      </c>
      <c r="B170" s="391" t="str">
        <f>Inputs!B24</f>
        <v>NGN</v>
      </c>
      <c r="C170" s="271" t="e">
        <f>IF(Inputs!B5="kWp",SUM(Inputs!C138:C141)/Inputs!C5,SUM(Inputs!C138:C141)/(Inputs!C5*1000))</f>
        <v>#DIV/0!</v>
      </c>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157"/>
      <c r="CR170" s="157"/>
      <c r="CS170" s="157"/>
      <c r="CT170" s="157"/>
      <c r="CU170" s="157"/>
      <c r="CV170" s="157"/>
      <c r="CW170" s="157"/>
      <c r="CX170" s="157"/>
      <c r="CY170" s="157"/>
      <c r="CZ170" s="157"/>
      <c r="DA170" s="157"/>
      <c r="DB170" s="157"/>
      <c r="DC170" s="157"/>
      <c r="DD170" s="157"/>
      <c r="DE170" s="157"/>
      <c r="DF170" s="157"/>
      <c r="DG170" s="157"/>
      <c r="DH170" s="157"/>
      <c r="DI170" s="157"/>
      <c r="DJ170" s="157"/>
      <c r="DK170" s="157"/>
      <c r="DL170" s="157"/>
      <c r="DM170" s="157"/>
      <c r="DN170" s="157"/>
      <c r="DO170" s="157"/>
      <c r="DP170" s="157"/>
      <c r="DQ170" s="157"/>
      <c r="DR170" s="157"/>
      <c r="DS170" s="157"/>
      <c r="DT170" s="157"/>
      <c r="DU170" s="157"/>
      <c r="DV170" s="157"/>
      <c r="DW170" s="157"/>
      <c r="DX170" s="157"/>
      <c r="DY170" s="157"/>
      <c r="DZ170" s="157"/>
      <c r="EA170" s="157"/>
      <c r="EB170" s="157"/>
    </row>
    <row r="171" spans="1:132" s="61" customFormat="1" ht="13.8" x14ac:dyDescent="0.3">
      <c r="A171" s="294" t="str">
        <f>Outputs!A145</f>
        <v>Opex as a % of capex</v>
      </c>
      <c r="B171" s="304" t="s">
        <v>83</v>
      </c>
      <c r="C171" s="272" t="e">
        <f>(Inputs!C145-Inputs!C142-Inputs!C143)/Inputs!C126</f>
        <v>#DIV/0!</v>
      </c>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157"/>
      <c r="CR171" s="157"/>
      <c r="CS171" s="157"/>
      <c r="CT171" s="157"/>
      <c r="CU171" s="157"/>
      <c r="CV171" s="157"/>
      <c r="CW171" s="157"/>
      <c r="CX171" s="157"/>
      <c r="CY171" s="157"/>
      <c r="CZ171" s="157"/>
      <c r="DA171" s="157"/>
      <c r="DB171" s="157"/>
      <c r="DC171" s="157"/>
      <c r="DD171" s="157"/>
      <c r="DE171" s="157"/>
      <c r="DF171" s="157"/>
      <c r="DG171" s="157"/>
      <c r="DH171" s="157"/>
      <c r="DI171" s="157"/>
      <c r="DJ171" s="157"/>
      <c r="DK171" s="157"/>
      <c r="DL171" s="157"/>
      <c r="DM171" s="157"/>
      <c r="DN171" s="157"/>
      <c r="DO171" s="157"/>
      <c r="DP171" s="157"/>
      <c r="DQ171" s="157"/>
      <c r="DR171" s="157"/>
      <c r="DS171" s="157"/>
      <c r="DT171" s="157"/>
      <c r="DU171" s="157"/>
      <c r="DV171" s="157"/>
      <c r="DW171" s="157"/>
      <c r="DX171" s="157"/>
      <c r="DY171" s="157"/>
      <c r="DZ171" s="157"/>
      <c r="EA171" s="157"/>
      <c r="EB171" s="157"/>
    </row>
    <row r="172" spans="1:132" s="61" customFormat="1" ht="13.8" x14ac:dyDescent="0.3">
      <c r="A172" s="294" t="str">
        <f>Outputs!A148</f>
        <v>Average Revenue Per User (ARPU)-monthly</v>
      </c>
      <c r="B172" s="391" t="str">
        <f>Inputs!B24</f>
        <v>NGN</v>
      </c>
      <c r="C172" s="271" t="e">
        <f>Calculations!D37/Inputs!B205</f>
        <v>#DIV/0!</v>
      </c>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c r="CL172" s="157"/>
      <c r="CM172" s="157"/>
      <c r="CN172" s="157"/>
      <c r="CO172" s="157"/>
      <c r="CP172" s="157"/>
      <c r="CQ172" s="157"/>
      <c r="CR172" s="157"/>
      <c r="CS172" s="157"/>
      <c r="CT172" s="157"/>
      <c r="CU172" s="157"/>
      <c r="CV172" s="157"/>
      <c r="CW172" s="157"/>
      <c r="CX172" s="157"/>
      <c r="CY172" s="157"/>
      <c r="CZ172" s="157"/>
      <c r="DA172" s="157"/>
      <c r="DB172" s="157"/>
      <c r="DC172" s="157"/>
      <c r="DD172" s="157"/>
      <c r="DE172" s="157"/>
      <c r="DF172" s="157"/>
      <c r="DG172" s="157"/>
      <c r="DH172" s="157"/>
      <c r="DI172" s="157"/>
      <c r="DJ172" s="157"/>
      <c r="DK172" s="157"/>
      <c r="DL172" s="157"/>
      <c r="DM172" s="157"/>
      <c r="DN172" s="157"/>
      <c r="DO172" s="157"/>
      <c r="DP172" s="157"/>
      <c r="DQ172" s="157"/>
      <c r="DR172" s="157"/>
      <c r="DS172" s="157"/>
      <c r="DT172" s="157"/>
      <c r="DU172" s="157"/>
      <c r="DV172" s="157"/>
      <c r="DW172" s="157"/>
      <c r="DX172" s="157"/>
      <c r="DY172" s="157"/>
      <c r="DZ172" s="157"/>
      <c r="EA172" s="157"/>
      <c r="EB172" s="157"/>
    </row>
    <row r="173" spans="1:132" s="61" customFormat="1" ht="13.8" x14ac:dyDescent="0.3">
      <c r="A173" s="392" t="s">
        <v>497</v>
      </c>
      <c r="B173" s="393" t="s">
        <v>86</v>
      </c>
      <c r="C173" s="273" t="e">
        <f>Inputs!D205/Inputs!B205/12</f>
        <v>#DIV/0!</v>
      </c>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c r="CL173" s="157"/>
      <c r="CM173" s="157"/>
      <c r="CN173" s="157"/>
      <c r="CO173" s="157"/>
      <c r="CP173" s="157"/>
      <c r="CQ173" s="157"/>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157"/>
      <c r="DO173" s="157"/>
      <c r="DP173" s="157"/>
      <c r="DQ173" s="157"/>
      <c r="DR173" s="157"/>
      <c r="DS173" s="157"/>
      <c r="DT173" s="157"/>
      <c r="DU173" s="157"/>
      <c r="DV173" s="157"/>
      <c r="DW173" s="157"/>
      <c r="DX173" s="157"/>
      <c r="DY173" s="157"/>
      <c r="DZ173" s="157"/>
      <c r="EA173" s="157"/>
      <c r="EB173" s="157"/>
    </row>
    <row r="174" spans="1:132" s="61" customFormat="1" ht="13.8" x14ac:dyDescent="0.3">
      <c r="A174" s="294"/>
      <c r="B174" s="60"/>
      <c r="C174" s="60"/>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c r="CL174" s="157"/>
      <c r="CM174" s="157"/>
      <c r="CN174" s="157"/>
      <c r="CO174" s="157"/>
      <c r="CP174" s="157"/>
      <c r="CQ174" s="157"/>
      <c r="CR174" s="157"/>
      <c r="CS174" s="157"/>
      <c r="CT174" s="157"/>
      <c r="CU174" s="157"/>
      <c r="CV174" s="157"/>
      <c r="CW174" s="157"/>
      <c r="CX174" s="157"/>
      <c r="CY174" s="157"/>
      <c r="CZ174" s="157"/>
      <c r="DA174" s="157"/>
      <c r="DB174" s="157"/>
      <c r="DC174" s="157"/>
      <c r="DD174" s="157"/>
      <c r="DE174" s="157"/>
      <c r="DF174" s="157"/>
      <c r="DG174" s="157"/>
      <c r="DH174" s="157"/>
      <c r="DI174" s="157"/>
      <c r="DJ174" s="157"/>
      <c r="DK174" s="157"/>
      <c r="DL174" s="157"/>
      <c r="DM174" s="157"/>
      <c r="DN174" s="157"/>
      <c r="DO174" s="157"/>
      <c r="DP174" s="157"/>
      <c r="DQ174" s="157"/>
      <c r="DR174" s="157"/>
      <c r="DS174" s="157"/>
      <c r="DT174" s="157"/>
      <c r="DU174" s="157"/>
      <c r="DV174" s="157"/>
      <c r="DW174" s="157"/>
      <c r="DX174" s="157"/>
      <c r="DY174" s="157"/>
      <c r="DZ174" s="157"/>
      <c r="EA174" s="157"/>
      <c r="EB174" s="157"/>
    </row>
    <row r="175" spans="1:132" x14ac:dyDescent="0.3">
      <c r="A175" s="294"/>
    </row>
  </sheetData>
  <sheetProtection algorithmName="SHA-512" hashValue="cf94zR4lbkZLXuyviouIJGQ8Ba8kmMy9to7GsT/BSeLxwqnGgt3c6Va8U/wg9X1K5CZpYN1cOwu0T/5c2FwDNg==" saltValue="Dzhl4l1FxHiQFUKBT8MAvg==" spinCount="100000" sheet="1" formatCells="0" formatColumns="0" formatRows="0"/>
  <mergeCells count="8">
    <mergeCell ref="A95:A96"/>
    <mergeCell ref="A97:A98"/>
    <mergeCell ref="A72:A73"/>
    <mergeCell ref="A85:A86"/>
    <mergeCell ref="A87:A88"/>
    <mergeCell ref="A89:A90"/>
    <mergeCell ref="A91:A92"/>
    <mergeCell ref="A93:A94"/>
  </mergeCells>
  <phoneticPr fontId="9" type="noConversion"/>
  <dataValidations xWindow="689" yWindow="830" count="2">
    <dataValidation type="list" allowBlank="1" showInputMessage="1" showErrorMessage="1" promptTitle="Depreciation Method" prompt="Please select &quot;Yes&quot; or &quot;No&quot; to choose your prefered depreciation method" sqref="C16 C18" xr:uid="{27635073-E566-482D-A8A2-A2FD9F5010F0}">
      <formula1>"Yes,No"</formula1>
    </dataValidation>
    <dataValidation type="custom" allowBlank="1" showInputMessage="1" showErrorMessage="1" errorTitle="Error" error="No input allowed on this cell. Check the Capital Costs Details tab and/or the Tariffs Inputs tab" promptTitle="Note" prompt="No input required" sqref="D155:AB158 A154:C158 B143:AC144 B148 C145:C150 A146:A150" xr:uid="{44A8BE3C-3E4D-46A6-BEE3-A4C4B9206601}">
      <formula1>0</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FF51-9102-45F7-ABDD-2ACCFB40E8BE}">
  <sheetPr>
    <tabColor theme="8" tint="-0.249977111117893"/>
    <pageSetUpPr fitToPage="1"/>
  </sheetPr>
  <dimension ref="A1:KS248"/>
  <sheetViews>
    <sheetView workbookViewId="0">
      <selection activeCell="A4" sqref="A4"/>
    </sheetView>
  </sheetViews>
  <sheetFormatPr defaultColWidth="8.77734375" defaultRowHeight="14.4" x14ac:dyDescent="0.3"/>
  <cols>
    <col min="1" max="1" width="49.21875" style="45" bestFit="1" customWidth="1"/>
    <col min="2" max="2" width="15.21875" style="45" customWidth="1"/>
    <col min="3" max="4" width="10.21875" style="45" bestFit="1" customWidth="1"/>
    <col min="5" max="5" width="10.21875" style="45" customWidth="1"/>
    <col min="6" max="6" width="10.77734375" style="45" bestFit="1" customWidth="1"/>
    <col min="7" max="8" width="10.21875" style="45" bestFit="1" customWidth="1"/>
    <col min="9" max="9" width="13.77734375" style="45" bestFit="1" customWidth="1"/>
    <col min="10" max="10" width="10.21875" style="45" bestFit="1" customWidth="1"/>
    <col min="11" max="11" width="9.21875" style="45" bestFit="1" customWidth="1"/>
    <col min="12" max="12" width="9.44140625" style="45" bestFit="1" customWidth="1"/>
    <col min="13" max="15" width="9.21875" style="45" bestFit="1" customWidth="1"/>
    <col min="16" max="16" width="11.77734375" style="45" customWidth="1"/>
    <col min="17" max="17" width="11.77734375" style="45" bestFit="1" customWidth="1"/>
    <col min="18" max="19" width="10.44140625" style="45" bestFit="1" customWidth="1"/>
    <col min="20" max="28" width="10.21875" style="45" bestFit="1" customWidth="1"/>
    <col min="29" max="16384" width="8.77734375" style="45"/>
  </cols>
  <sheetData>
    <row r="1" spans="1:131" ht="18" x14ac:dyDescent="0.35">
      <c r="A1" s="43" t="s">
        <v>311</v>
      </c>
      <c r="B1" s="44"/>
      <c r="C1" s="44"/>
      <c r="E1" s="46"/>
      <c r="AG1" s="46"/>
      <c r="AH1" s="46"/>
      <c r="AI1" s="46"/>
    </row>
    <row r="2" spans="1:131" s="61" customFormat="1" x14ac:dyDescent="0.3">
      <c r="A2" s="57"/>
      <c r="B2" s="155" t="s">
        <v>150</v>
      </c>
      <c r="C2" s="156">
        <v>1</v>
      </c>
      <c r="D2" s="156">
        <f>C2+1</f>
        <v>2</v>
      </c>
      <c r="E2" s="156">
        <f t="shared" ref="E2:AA2" si="0">D2+1</f>
        <v>3</v>
      </c>
      <c r="F2" s="156">
        <f t="shared" si="0"/>
        <v>4</v>
      </c>
      <c r="G2" s="156">
        <f t="shared" si="0"/>
        <v>5</v>
      </c>
      <c r="H2" s="156">
        <f t="shared" si="0"/>
        <v>6</v>
      </c>
      <c r="I2" s="156">
        <f t="shared" si="0"/>
        <v>7</v>
      </c>
      <c r="J2" s="156">
        <f t="shared" si="0"/>
        <v>8</v>
      </c>
      <c r="K2" s="156">
        <f t="shared" si="0"/>
        <v>9</v>
      </c>
      <c r="L2" s="156">
        <f t="shared" si="0"/>
        <v>10</v>
      </c>
      <c r="M2" s="156">
        <f t="shared" si="0"/>
        <v>11</v>
      </c>
      <c r="N2" s="156">
        <f t="shared" si="0"/>
        <v>12</v>
      </c>
      <c r="O2" s="156">
        <f t="shared" si="0"/>
        <v>13</v>
      </c>
      <c r="P2" s="156">
        <f t="shared" si="0"/>
        <v>14</v>
      </c>
      <c r="Q2" s="156">
        <f t="shared" si="0"/>
        <v>15</v>
      </c>
      <c r="R2" s="156">
        <f t="shared" si="0"/>
        <v>16</v>
      </c>
      <c r="S2" s="156">
        <f t="shared" si="0"/>
        <v>17</v>
      </c>
      <c r="T2" s="156">
        <f t="shared" si="0"/>
        <v>18</v>
      </c>
      <c r="U2" s="156">
        <f t="shared" si="0"/>
        <v>19</v>
      </c>
      <c r="V2" s="156">
        <f t="shared" si="0"/>
        <v>20</v>
      </c>
      <c r="W2" s="156">
        <f t="shared" si="0"/>
        <v>21</v>
      </c>
      <c r="X2" s="156">
        <f t="shared" si="0"/>
        <v>22</v>
      </c>
      <c r="Y2" s="156">
        <f t="shared" si="0"/>
        <v>23</v>
      </c>
      <c r="Z2" s="156">
        <f t="shared" si="0"/>
        <v>24</v>
      </c>
      <c r="AA2" s="156">
        <f t="shared" si="0"/>
        <v>25</v>
      </c>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row>
    <row r="4" spans="1:131" x14ac:dyDescent="0.3">
      <c r="A4" s="158" t="s">
        <v>409</v>
      </c>
    </row>
    <row r="5" spans="1:131" s="53" customFormat="1" x14ac:dyDescent="0.3">
      <c r="A5" s="52"/>
      <c r="B5" s="52" t="s">
        <v>47</v>
      </c>
      <c r="C5" s="64" t="s">
        <v>186</v>
      </c>
      <c r="D5" s="64" t="s">
        <v>186</v>
      </c>
      <c r="E5" s="64" t="s">
        <v>186</v>
      </c>
      <c r="F5" s="64" t="s">
        <v>186</v>
      </c>
      <c r="G5" s="64" t="s">
        <v>186</v>
      </c>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row>
    <row r="6" spans="1:131" x14ac:dyDescent="0.3">
      <c r="A6" s="132" t="s">
        <v>251</v>
      </c>
      <c r="B6" s="159"/>
      <c r="J6" s="54"/>
    </row>
    <row r="7" spans="1:131" s="163" customFormat="1" x14ac:dyDescent="0.3">
      <c r="A7" s="596" t="str">
        <f>Inputs!A198</f>
        <v>placeholder1 (Lifeline)</v>
      </c>
      <c r="B7" s="434" t="str">
        <f>IF($A$6="Fixed charge+kWh charge tariff","Fixed charge",IF($A$6="Flat rate tariff (Revenues/No. of Customers)","Service Charge","Energy Charge"))</f>
        <v>Energy Charge</v>
      </c>
      <c r="C7" s="435" t="e">
        <f>IF($A$6="kWh/PAYG/Energy-based tariff",Calculations!D$68,IF($A$6="Flat rate tariff (Revenues/No. of Customers)",Calculations!D$70*Inputs!$G198,IF($A$6="Fixed charge+kWh charge tariff",Calculations!D$85,IF($A$6="Tariffs is a % of some base tariff",Calculations!D$76,IF($A$6="LCOE",Calculations!D$100,IF($A$6="Time of Use(ToU) tariff",Calculations!D$102,IF($A$6="Other-please specify",Calculations!D$106,"")))))))</f>
        <v>#DIV/0!</v>
      </c>
      <c r="D7" s="435" t="e">
        <f>IF($A$6="kWh/PAYG/Energy-based tariff",Calculations!E$68,IF($A$6="Flat rate tariff (Revenues/No. of Customers)",Calculations!E$70*Inputs!$G198,IF($A$6="Fixed charge+kWh charge tariff",Calculations!E$85,IF($A$6="Tariffs is a % of some base tariff",Calculations!E$76,IF($A$6="LCOE",Calculations!E$100,IF($A$6="Time of Use(ToU) tariff",Calculations!E$102,IF($A$6="Other-please specify",Calculations!E$106,"")))))))</f>
        <v>#DIV/0!</v>
      </c>
      <c r="E7" s="435" t="e">
        <f>IF($A$6="kWh/PAYG/Energy-based tariff",Calculations!F$68,IF($A$6="Flat rate tariff (Revenues/No. of Customers)",Calculations!F$70*Inputs!$G198,IF($A$6="Fixed charge+kWh charge tariff",Calculations!F$85,IF($A$6="Tariffs is a % of some base tariff",Calculations!F$76,IF($A$6="LCOE",Calculations!F$100,IF($A$6="Time of Use(ToU) tariff",Calculations!F$102,IF($A$6="Other-please specify",Calculations!F$106,"")))))))</f>
        <v>#DIV/0!</v>
      </c>
      <c r="F7" s="435" t="e">
        <f>IF($A$6="kWh/PAYG/Energy-based tariff",Calculations!G$68,IF($A$6="Flat rate tariff (Revenues/No. of Customers)",Calculations!G$70*Inputs!$G198,IF($A$6="Fixed charge+kWh charge tariff",Calculations!G$85,IF($A$6="Tariffs is a % of some base tariff",Calculations!G$76,IF($A$6="LCOE",Calculations!G$100,IF($A$6="Time of Use(ToU) tariff",Calculations!G$102,IF($A$6="Other-please specify",Calculations!G$106,"")))))))</f>
        <v>#DIV/0!</v>
      </c>
      <c r="G7" s="436" t="e">
        <f>IF($A$6="kWh/PAYG/Energy-based tariff",Calculations!H$68,IF($A$6="Flat rate tariff (Revenues/No. of Customers)",Calculations!H$70*Inputs!$G198,IF($A$6="Fixed charge+kWh charge tariff",Calculations!H$85,IF($A$6="Tariffs is a % of some base tariff",Calculations!H$76,IF($A$6="LCOE",Calculations!H$100,IF($A$6="Time of Use(ToU) tariff",Calculations!H$102,IF($A$6="Other-please specify",Calculations!H$106,"")))))))</f>
        <v>#DIV/0!</v>
      </c>
      <c r="I7" s="57"/>
    </row>
    <row r="8" spans="1:131" s="163" customFormat="1" x14ac:dyDescent="0.3">
      <c r="A8" s="597"/>
      <c r="B8" s="437" t="str">
        <f>IF($A$6="Fixed charge+kWh charge tariff","kWh charge","")</f>
        <v/>
      </c>
      <c r="C8" s="438" t="str">
        <f>IF($A$6="Fixed charge+kWh charge tariff",Calculations!D86,"")</f>
        <v/>
      </c>
      <c r="D8" s="438" t="str">
        <f>IF($A$6="Fixed charge+kWh charge tariff",Calculations!E86,"")</f>
        <v/>
      </c>
      <c r="E8" s="438" t="str">
        <f>IF($A$6="Fixed charge+kWh charge tariff",Calculations!F86,"")</f>
        <v/>
      </c>
      <c r="F8" s="438" t="str">
        <f>IF($A$6="Fixed charge+kWh charge tariff",Calculations!G86,"")</f>
        <v/>
      </c>
      <c r="G8" s="439" t="str">
        <f>IF($A$6="Fixed charge+kWh charge tariff",Calculations!H86,"")</f>
        <v/>
      </c>
      <c r="I8" s="57"/>
    </row>
    <row r="9" spans="1:131" s="163" customFormat="1" x14ac:dyDescent="0.3">
      <c r="A9" s="596" t="str">
        <f>Inputs!A199</f>
        <v>placeholder2 (Households)</v>
      </c>
      <c r="B9" s="434" t="str">
        <f>IF($A$6="Fixed charge+kWh charge tariff","Fixed charge",IF($A$6="Flat rate tariff (Revenues/No. of Customers)","Service Charge","Energy Charge"))</f>
        <v>Energy Charge</v>
      </c>
      <c r="C9" s="435" t="e">
        <f>IF($A$6="kWh/PAYG/Energy-based tariff",Calculations!D$68,IF($A$6="Flat rate tariff (Revenues/No. of Customers)",Calculations!D$70*Inputs!$G199,IF($A$6="Fixed charge+kWh charge tariff",Calculations!D$87,IF($A$6="Tariffs is a % of some base tariff",Calculations!D$77,IF($A$6="LCOE",Calculations!D$100,IF($A$6="Time of Use(ToU) tariff",Calculations!D$102,IF($A$6="Other-please specify",Calculations!D$106,"")))))))</f>
        <v>#DIV/0!</v>
      </c>
      <c r="D9" s="435" t="e">
        <f>IF($A$6="kWh/PAYG/Energy-based tariff",Calculations!E$68,IF($A$6="Flat rate tariff (Revenues/No. of Customers)",Calculations!E$70*Inputs!$G199,IF($A$6="Fixed charge+kWh charge tariff",Calculations!E$87,IF($A$6="Tariffs is a % of some base tariff",Calculations!E$77,IF($A$6="LCOE",Calculations!E$100,IF($A$6="Time of Use(ToU) tariff",Calculations!E$102,IF($A$6="Other-please specify",Calculations!E$106,"")))))))</f>
        <v>#DIV/0!</v>
      </c>
      <c r="E9" s="435" t="e">
        <f>IF($A$6="kWh/PAYG/Energy-based tariff",Calculations!F$68,IF($A$6="Flat rate tariff (Revenues/No. of Customers)",Calculations!F$70*Inputs!$G199,IF($A$6="Fixed charge+kWh charge tariff",Calculations!F$87,IF($A$6="Tariffs is a % of some base tariff",Calculations!F$77,IF($A$6="LCOE",Calculations!F$100,IF($A$6="Time of Use(ToU) tariff",Calculations!F$102,IF($A$6="Other-please specify",Calculations!F$106,"")))))))</f>
        <v>#DIV/0!</v>
      </c>
      <c r="F9" s="435" t="e">
        <f>IF($A$6="kWh/PAYG/Energy-based tariff",Calculations!G$68,IF($A$6="Flat rate tariff (Revenues/No. of Customers)",Calculations!G$70*Inputs!$G199,IF($A$6="Fixed charge+kWh charge tariff",Calculations!G$87,IF($A$6="Tariffs is a % of some base tariff",Calculations!G$77,IF($A$6="LCOE",Calculations!G$100,IF($A$6="Time of Use(ToU) tariff",Calculations!G$102,IF($A$6="Other-please specify",Calculations!G$106,"")))))))</f>
        <v>#DIV/0!</v>
      </c>
      <c r="G9" s="436" t="e">
        <f>IF($A$6="kWh/PAYG/Energy-based tariff",Calculations!H$68,IF($A$6="Flat rate tariff (Revenues/No. of Customers)",Calculations!H$70*Inputs!$G199,IF($A$6="Fixed charge+kWh charge tariff",Calculations!H$87,IF($A$6="Tariffs is a % of some base tariff",Calculations!H$77,IF($A$6="LCOE",Calculations!H$100,IF($A$6="Time of Use(ToU) tariff",Calculations!H$102,IF($A$6="Other-please specify",Calculations!H$106,"")))))))</f>
        <v>#DIV/0!</v>
      </c>
      <c r="I9" s="57"/>
    </row>
    <row r="10" spans="1:131" s="163" customFormat="1" x14ac:dyDescent="0.3">
      <c r="A10" s="613"/>
      <c r="B10" s="437" t="str">
        <f>IF($A$6="Fixed charge+kWh charge tariff","kWh charge","")</f>
        <v/>
      </c>
      <c r="C10" s="438" t="str">
        <f>IF($A$6="Fixed charge+kWh charge tariff",Calculations!D88,"")</f>
        <v/>
      </c>
      <c r="D10" s="438" t="str">
        <f>IF($A$6="Fixed charge+kWh charge tariff",Calculations!E88,"")</f>
        <v/>
      </c>
      <c r="E10" s="438" t="str">
        <f>IF($A$6="Fixed charge+kWh charge tariff",Calculations!F88,"")</f>
        <v/>
      </c>
      <c r="F10" s="438" t="str">
        <f>IF($A$6="Fixed charge+kWh charge tariff",Calculations!G88,"")</f>
        <v/>
      </c>
      <c r="G10" s="439" t="str">
        <f>IF($A$6="Fixed charge+kWh charge tariff",Calculations!H88,"")</f>
        <v/>
      </c>
      <c r="I10" s="57"/>
    </row>
    <row r="11" spans="1:131" s="163" customFormat="1" x14ac:dyDescent="0.3">
      <c r="A11" s="596" t="str">
        <f>Inputs!A200</f>
        <v>placeholder3 (Business basic shops for lighting)</v>
      </c>
      <c r="B11" s="434" t="str">
        <f>IF($A$6="Fixed charge+kWh charge tariff","Fixed charge",IF($A$6="Flat rate tariff (Revenues/No. of Customers)","Service Charge","Energy Charge"))</f>
        <v>Energy Charge</v>
      </c>
      <c r="C11" s="435" t="e">
        <f>IF($A$6="kWh/PAYG/Energy-based tariff",Calculations!D$68,IF($A$6="Flat rate tariff (Revenues/No. of Customers)",Calculations!D$70*Inputs!$G200,IF($A$6="Fixed charge+kWh charge tariff",Calculations!D$89,IF($A$6="Tariffs is a % of some base tariff",Calculations!D$78,IF($A$6="LCOE",Calculations!D$100,IF($A$6="Time of Use(ToU) tariff",Calculations!D$102,IF($A$6="Other-please specify",Calculations!D$106,"")))))))</f>
        <v>#DIV/0!</v>
      </c>
      <c r="D11" s="435" t="e">
        <f>IF($A$6="kWh/PAYG/Energy-based tariff",Calculations!E$68,IF($A$6="Flat rate tariff (Revenues/No. of Customers)",Calculations!E$70*Inputs!$G200,IF($A$6="Fixed charge+kWh charge tariff",Calculations!E$89,IF($A$6="Tariffs is a % of some base tariff",Calculations!E$78,IF($A$6="LCOE",Calculations!E$100,IF($A$6="Time of Use(ToU) tariff",Calculations!E$102,IF($A$6="Other-please specify",Calculations!E$106,"")))))))</f>
        <v>#DIV/0!</v>
      </c>
      <c r="E11" s="435" t="e">
        <f>IF($A$6="kWh/PAYG/Energy-based tariff",Calculations!F$68,IF($A$6="Flat rate tariff (Revenues/No. of Customers)",Calculations!F$70*Inputs!$G200,IF($A$6="Fixed charge+kWh charge tariff",Calculations!F$89,IF($A$6="Tariffs is a % of some base tariff",Calculations!F$78,IF($A$6="LCOE",Calculations!F$100,IF($A$6="Time of Use(ToU) tariff",Calculations!F$102,IF($A$6="Other-please specify",Calculations!F$106,"")))))))</f>
        <v>#DIV/0!</v>
      </c>
      <c r="F11" s="435" t="e">
        <f>IF($A$6="kWh/PAYG/Energy-based tariff",Calculations!G$68,IF($A$6="Flat rate tariff (Revenues/No. of Customers)",Calculations!G$70*Inputs!$G200,IF($A$6="Fixed charge+kWh charge tariff",Calculations!G$89,IF($A$6="Tariffs is a % of some base tariff",Calculations!G$78,IF($A$6="LCOE",Calculations!G$100,IF($A$6="Time of Use(ToU) tariff",Calculations!G$102,IF($A$6="Other-please specify",Calculations!G$106,"")))))))</f>
        <v>#DIV/0!</v>
      </c>
      <c r="G11" s="436" t="e">
        <f>IF($A$6="kWh/PAYG/Energy-based tariff",Calculations!H$68,IF($A$6="Flat rate tariff (Revenues/No. of Customers)",Calculations!H$70*Inputs!$G200,IF($A$6="Fixed charge+kWh charge tariff",Calculations!H$89,IF($A$6="Tariffs is a % of some base tariff",Calculations!H$78,IF($A$6="LCOE",Calculations!H$100,IF($A$6="Time of Use(ToU) tariff",Calculations!H$102,IF($A$6="Other-please specify",Calculations!H$106,"")))))))</f>
        <v>#DIV/0!</v>
      </c>
      <c r="I11" s="57"/>
    </row>
    <row r="12" spans="1:131" s="163" customFormat="1" x14ac:dyDescent="0.3">
      <c r="A12" s="597"/>
      <c r="B12" s="437" t="str">
        <f>IF($A$6="Fixed charge+kWh charge tariff","kWh charge","")</f>
        <v/>
      </c>
      <c r="C12" s="438" t="str">
        <f>IF($A$6="Fixed charge+kWh charge tariff",Calculations!D90,"")</f>
        <v/>
      </c>
      <c r="D12" s="438" t="str">
        <f>IF($A$6="Fixed charge+kWh charge tariff",Calculations!E90,"")</f>
        <v/>
      </c>
      <c r="E12" s="438" t="str">
        <f>IF($A$6="Fixed charge+kWh charge tariff",Calculations!F90,"")</f>
        <v/>
      </c>
      <c r="F12" s="438" t="str">
        <f>IF($A$6="Fixed charge+kWh charge tariff",Calculations!G90,"")</f>
        <v/>
      </c>
      <c r="G12" s="439" t="str">
        <f>IF($A$6="Fixed charge+kWh charge tariff",Calculations!H90,"")</f>
        <v/>
      </c>
      <c r="I12" s="57"/>
    </row>
    <row r="13" spans="1:131" s="163" customFormat="1" x14ac:dyDescent="0.3">
      <c r="A13" s="596" t="str">
        <f>Inputs!A201</f>
        <v>placeholder4 (Business with appliances like fridges, freezers, etc)</v>
      </c>
      <c r="B13" s="434" t="str">
        <f>IF($A$6="Fixed charge+kWh charge tariff","Fixed charge",IF($A$6="Flat rate tariff (Revenues/No. of Customers)","Service Charge","Energy Charge"))</f>
        <v>Energy Charge</v>
      </c>
      <c r="C13" s="435" t="e">
        <f>IF($A$6="kWh/PAYG/Energy-based tariff",Calculations!D$68,IF($A$6="Flat rate tariff (Revenues/No. of Customers)",Calculations!D$70*Inputs!$G201,IF($A$6="Fixed charge+kWh charge tariff",Calculations!D$91,IF($A$6="Tariffs is a % of some base tariff",Calculations!D$79,IF($A$6="LCOE",Calculations!D$100,IF($A$6="Time of Use(ToU) tariff",Calculations!D$102,IF($A$6="Other-please specify",Calculations!D$106,"")))))))</f>
        <v>#DIV/0!</v>
      </c>
      <c r="D13" s="435" t="e">
        <f>IF($A$6="kWh/PAYG/Energy-based tariff",Calculations!E$68,IF($A$6="Flat rate tariff (Revenues/No. of Customers)",Calculations!E$70*Inputs!$G201,IF($A$6="Fixed charge+kWh charge tariff",Calculations!E$91,IF($A$6="Tariffs is a % of some base tariff",Calculations!E$79,IF($A$6="LCOE",Calculations!E$100,IF($A$6="Time of Use(ToU) tariff",Calculations!E$102,IF($A$6="Other-please specify",Calculations!E$106,"")))))))</f>
        <v>#DIV/0!</v>
      </c>
      <c r="E13" s="435" t="e">
        <f>IF($A$6="kWh/PAYG/Energy-based tariff",Calculations!F$68,IF($A$6="Flat rate tariff (Revenues/No. of Customers)",Calculations!F$70*Inputs!$G201,IF($A$6="Fixed charge+kWh charge tariff",Calculations!F$91,IF($A$6="Tariffs is a % of some base tariff",Calculations!F$79,IF($A$6="LCOE",Calculations!F$100,IF($A$6="Time of Use(ToU) tariff",Calculations!F$102,IF($A$6="Other-please specify",Calculations!F$106,"")))))))</f>
        <v>#DIV/0!</v>
      </c>
      <c r="F13" s="435" t="e">
        <f>IF($A$6="kWh/PAYG/Energy-based tariff",Calculations!G$68,IF($A$6="Flat rate tariff (Revenues/No. of Customers)",Calculations!G$70*Inputs!$G201,IF($A$6="Fixed charge+kWh charge tariff",Calculations!G$91,IF($A$6="Tariffs is a % of some base tariff",Calculations!G$79,IF($A$6="LCOE",Calculations!G$100,IF($A$6="Time of Use(ToU) tariff",Calculations!G$102,IF($A$6="Other-please specify",Calculations!G$106,"")))))))</f>
        <v>#DIV/0!</v>
      </c>
      <c r="G13" s="436" t="e">
        <f>IF($A$6="kWh/PAYG/Energy-based tariff",Calculations!H$68,IF($A$6="Flat rate tariff (Revenues/No. of Customers)",Calculations!H$70*Inputs!$G201,IF($A$6="Fixed charge+kWh charge tariff",Calculations!H$91,IF($A$6="Tariffs is a % of some base tariff",Calculations!H$79,IF($A$6="LCOE",Calculations!H$100,IF($A$6="Time of Use(ToU) tariff",Calculations!H$102,IF($A$6="Other-please specify",Calculations!H$106,"")))))))</f>
        <v>#DIV/0!</v>
      </c>
      <c r="I13" s="57"/>
    </row>
    <row r="14" spans="1:131" s="163" customFormat="1" x14ac:dyDescent="0.3">
      <c r="A14" s="597"/>
      <c r="B14" s="437" t="str">
        <f>IF($A$6="Fixed charge+kWh charge tariff","kWh charge","")</f>
        <v/>
      </c>
      <c r="C14" s="438" t="str">
        <f>IF($A$6="Fixed charge+kWh charge tariff",Calculations!D92,"")</f>
        <v/>
      </c>
      <c r="D14" s="438" t="str">
        <f>IF($A$6="Fixed charge+kWh charge tariff",Calculations!E92,"")</f>
        <v/>
      </c>
      <c r="E14" s="438" t="str">
        <f>IF($A$6="Fixed charge+kWh charge tariff",Calculations!F92,"")</f>
        <v/>
      </c>
      <c r="F14" s="438" t="str">
        <f>IF($A$6="Fixed charge+kWh charge tariff",Calculations!G92,"")</f>
        <v/>
      </c>
      <c r="G14" s="439" t="str">
        <f>IF($A$6="Fixed charge+kWh charge tariff",Calculations!H92,"")</f>
        <v/>
      </c>
      <c r="I14" s="57"/>
    </row>
    <row r="15" spans="1:131" s="163" customFormat="1" x14ac:dyDescent="0.3">
      <c r="A15" s="596" t="str">
        <f>Inputs!A202</f>
        <v>placeholder5 (Anchor-Mines/Timber Mills/Procesors, Bank, etc)</v>
      </c>
      <c r="B15" s="434" t="str">
        <f>IF($A$6="Fixed charge+kWh charge tariff","Fixed charge",IF($A$6="Flat rate tariff (Revenues/No. of Customers)","Service Charge","Energy Charge"))</f>
        <v>Energy Charge</v>
      </c>
      <c r="C15" s="435" t="e">
        <f>IF($A$6="kWh/PAYG/Energy-based tariff",Calculations!D$68,IF($A$6="Flat rate tariff (Revenues/No. of Customers)",Calculations!D$70*Inputs!$G202,IF($A$6="Fixed charge+kWh charge tariff",Calculations!D$93,IF($A$6="Tariffs is a % of some base tariff",Calculations!D$80,IF($A$6="LCOE",Calculations!D$100,IF($A$6="Time of Use(ToU) tariff",Calculations!D$102,IF($A$6="Other-please specify",Calculations!D$106,"")))))))</f>
        <v>#DIV/0!</v>
      </c>
      <c r="D15" s="435" t="e">
        <f>IF($A$6="kWh/PAYG/Energy-based tariff",Calculations!E$68,IF($A$6="Flat rate tariff (Revenues/No. of Customers)",Calculations!E$70*Inputs!$G202,IF($A$6="Fixed charge+kWh charge tariff",Calculations!E$93,IF($A$6="Tariffs is a % of some base tariff",Calculations!E$80,IF($A$6="LCOE",Calculations!E$100,IF($A$6="Time of Use(ToU) tariff",Calculations!E$102,IF($A$6="Other-please specify",Calculations!E$106,"")))))))</f>
        <v>#DIV/0!</v>
      </c>
      <c r="E15" s="435" t="e">
        <f>IF($A$6="kWh/PAYG/Energy-based tariff",Calculations!F$68,IF($A$6="Flat rate tariff (Revenues/No. of Customers)",Calculations!F$70*Inputs!$G202,IF($A$6="Fixed charge+kWh charge tariff",Calculations!F$93,IF($A$6="Tariffs is a % of some base tariff",Calculations!F$80,IF($A$6="LCOE",Calculations!F$100,IF($A$6="Time of Use(ToU) tariff",Calculations!F$102,IF($A$6="Other-please specify",Calculations!F$106,"")))))))</f>
        <v>#DIV/0!</v>
      </c>
      <c r="F15" s="435" t="e">
        <f>IF($A$6="kWh/PAYG/Energy-based tariff",Calculations!G$68,IF($A$6="Flat rate tariff (Revenues/No. of Customers)",Calculations!G$70*Inputs!$G202,IF($A$6="Fixed charge+kWh charge tariff",Calculations!G$93,IF($A$6="Tariffs is a % of some base tariff",Calculations!G$80,IF($A$6="LCOE",Calculations!G$100,IF($A$6="Time of Use(ToU) tariff",Calculations!G$102,IF($A$6="Other-please specify",Calculations!G$106,"")))))))</f>
        <v>#DIV/0!</v>
      </c>
      <c r="G15" s="436" t="e">
        <f>IF($A$6="kWh/PAYG/Energy-based tariff",Calculations!H$68,IF($A$6="Flat rate tariff (Revenues/No. of Customers)",Calculations!H$70*Inputs!$G202,IF($A$6="Fixed charge+kWh charge tariff",Calculations!H$93,IF($A$6="Tariffs is a % of some base tariff",Calculations!H$80,IF($A$6="LCOE",Calculations!H$100,IF($A$6="Time of Use(ToU) tariff",Calculations!H$102,IF($A$6="Other-please specify",Calculations!H$106,"")))))))</f>
        <v>#DIV/0!</v>
      </c>
      <c r="I15" s="57"/>
    </row>
    <row r="16" spans="1:131" s="163" customFormat="1" x14ac:dyDescent="0.3">
      <c r="A16" s="597"/>
      <c r="B16" s="437" t="str">
        <f>IF($A$6="Fixed charge+kWh charge tariff","kWh charge","")</f>
        <v/>
      </c>
      <c r="C16" s="438" t="str">
        <f>IF($A$6="Fixed charge+kWh charge tariff",Calculations!D94,"")</f>
        <v/>
      </c>
      <c r="D16" s="438" t="str">
        <f>IF($A$6="Fixed charge+kWh charge tariff",Calculations!E94,"")</f>
        <v/>
      </c>
      <c r="E16" s="438" t="str">
        <f>IF($A$6="Fixed charge+kWh charge tariff",Calculations!F94,"")</f>
        <v/>
      </c>
      <c r="F16" s="438" t="str">
        <f>IF($A$6="Fixed charge+kWh charge tariff",Calculations!G94,"")</f>
        <v/>
      </c>
      <c r="G16" s="439" t="str">
        <f>IF($A$6="Fixed charge+kWh charge tariff",Calculations!H94,"")</f>
        <v/>
      </c>
      <c r="I16" s="57"/>
    </row>
    <row r="17" spans="1:305" s="163" customFormat="1" x14ac:dyDescent="0.3">
      <c r="A17" s="596" t="str">
        <f>Inputs!A203</f>
        <v>placeholder6 (Institutions – schools, health centres, admin centres, etc)</v>
      </c>
      <c r="B17" s="434" t="str">
        <f>IF($A$6="Fixed charge+kWh charge tariff","Fixed charge",IF($A$6="Flat rate tariff (Revenues/No. of Customers)","Service Charge","Energy Charge"))</f>
        <v>Energy Charge</v>
      </c>
      <c r="C17" s="435" t="e">
        <f>IF($A$6="kWh/PAYG/Energy-based tariff",Calculations!D$68,IF($A$6="Flat rate tariff (Revenues/No. of Customers)",Calculations!D$70*Inputs!$G203,IF($A$6="Fixed charge+kWh charge tariff",Calculations!D$95,IF($A$6="Tariffs is a % of some base tariff",Calculations!D$81,IF($A$6="LCOE",Calculations!D$100,IF($A$6="Time of Use(ToU) tariff",Calculations!D$102,IF($A$6="Other-please specify",Calculations!D$106,"")))))))</f>
        <v>#DIV/0!</v>
      </c>
      <c r="D17" s="435" t="e">
        <f>IF($A$6="kWh/PAYG/Energy-based tariff",Calculations!E$68,IF($A$6="Flat rate tariff (Revenues/No. of Customers)",Calculations!E$70*Inputs!$G203,IF($A$6="Fixed charge+kWh charge tariff",Calculations!E$95,IF($A$6="Tariffs is a % of some base tariff",Calculations!E$81,IF($A$6="LCOE",Calculations!E$100,IF($A$6="Time of Use(ToU) tariff",Calculations!E$102,IF($A$6="Other-please specify",Calculations!E$106,"")))))))</f>
        <v>#DIV/0!</v>
      </c>
      <c r="E17" s="435" t="e">
        <f>IF($A$6="kWh/PAYG/Energy-based tariff",Calculations!F$68,IF($A$6="Flat rate tariff (Revenues/No. of Customers)",Calculations!F$70*Inputs!$G203,IF($A$6="Fixed charge+kWh charge tariff",Calculations!F$95,IF($A$6="Tariffs is a % of some base tariff",Calculations!F$81,IF($A$6="LCOE",Calculations!F$100,IF($A$6="Time of Use(ToU) tariff",Calculations!F$102,IF($A$6="Other-please specify",Calculations!F$106,"")))))))</f>
        <v>#DIV/0!</v>
      </c>
      <c r="F17" s="435" t="e">
        <f>IF($A$6="kWh/PAYG/Energy-based tariff",Calculations!G$68,IF($A$6="Flat rate tariff (Revenues/No. of Customers)",Calculations!G$70*Inputs!$G203,IF($A$6="Fixed charge+kWh charge tariff",Calculations!G$95,IF($A$6="Tariffs is a % of some base tariff",Calculations!G$81,IF($A$6="LCOE",Calculations!G$100,IF($A$6="Time of Use(ToU) tariff",Calculations!G$102,IF($A$6="Other-please specify",Calculations!G$106,"")))))))</f>
        <v>#DIV/0!</v>
      </c>
      <c r="G17" s="436" t="e">
        <f>IF($A$6="kWh/PAYG/Energy-based tariff",Calculations!H$68,IF($A$6="Flat rate tariff (Revenues/No. of Customers)",Calculations!H$70*Inputs!$G203,IF($A$6="Fixed charge+kWh charge tariff",Calculations!H$95,IF($A$6="Tariffs is a % of some base tariff",Calculations!H$81,IF($A$6="LCOE",Calculations!H$100,IF($A$6="Time of Use(ToU) tariff",Calculations!H$102,IF($A$6="Other-please specify",Calculations!H$106,"")))))))</f>
        <v>#DIV/0!</v>
      </c>
      <c r="I17" s="57"/>
    </row>
    <row r="18" spans="1:305" s="163" customFormat="1" x14ac:dyDescent="0.3">
      <c r="A18" s="597"/>
      <c r="B18" s="437" t="str">
        <f>IF($A$6="Fixed charge+kWh charge tariff","kWh charge","")</f>
        <v/>
      </c>
      <c r="C18" s="438" t="str">
        <f>IF($A$6="Fixed charge+kWh charge tariff",Calculations!D96,"")</f>
        <v/>
      </c>
      <c r="D18" s="438" t="str">
        <f>IF($A$6="Fixed charge+kWh charge tariff",Calculations!E96,"")</f>
        <v/>
      </c>
      <c r="E18" s="438" t="str">
        <f>IF($A$6="Fixed charge+kWh charge tariff",Calculations!F96,"")</f>
        <v/>
      </c>
      <c r="F18" s="438" t="str">
        <f>IF($A$6="Fixed charge+kWh charge tariff",Calculations!G96,"")</f>
        <v/>
      </c>
      <c r="G18" s="439" t="str">
        <f>IF($A$6="Fixed charge+kWh charge tariff",Calculations!H96,"")</f>
        <v/>
      </c>
      <c r="I18" s="57"/>
    </row>
    <row r="19" spans="1:305" s="169" customFormat="1" ht="13.2" customHeight="1" x14ac:dyDescent="0.3">
      <c r="A19" s="596" t="str">
        <f>Inputs!A204</f>
        <v>placeholder7 (Street lighting)</v>
      </c>
      <c r="B19" s="434" t="str">
        <f>IF($A$6="Fixed charge+kWh charge tariff","Fixed charge",IF($A$6="Flat rate tariff (Revenues/No. of Customers)","Service Charge","Energy Charge"))</f>
        <v>Energy Charge</v>
      </c>
      <c r="C19" s="440" t="e">
        <f>IF($A$6="kWh/PAYG/Energy-based tariff",Calculations!D$68,IF($A$6="Flat rate tariff (Revenues/No. of Customers)",Calculations!D$70,IF($A$6="Fixed charge+kWh charge tariff",Calculations!D$97,IF($A$6="Tariffs is a % of some base tariff",Calculations!D$82,IF($A$6="LCOE",Calculations!D$100,IF($A$6="Time of Use(ToU) tariff",Calculations!D$102,IF($A$6="Other-please specify",Calculations!D$106,"")))))))</f>
        <v>#DIV/0!</v>
      </c>
      <c r="D19" s="440" t="e">
        <f>IF($A$6="kWh/PAYG/Energy-based tariff",Calculations!E$68,IF($A$6="Flat rate tariff (Revenues/No. of Customers)",Calculations!E$70,IF($A$6="Fixed charge+kWh charge tariff",Calculations!E$97,IF($A$6="Tariffs is a % of some base tariff",Calculations!E$82,IF($A$6="LCOE",Calculations!E$100,IF($A$6="Time of Use(ToU) tariff",Calculations!E$102,IF($A$6="Other-please specify",Calculations!E$106,"")))))))</f>
        <v>#DIV/0!</v>
      </c>
      <c r="E19" s="440" t="e">
        <f>IF($A$6="kWh/PAYG/Energy-based tariff",Calculations!F$68,IF($A$6="Flat rate tariff (Revenues/No. of Customers)",Calculations!F$70,IF($A$6="Fixed charge+kWh charge tariff",Calculations!F$97,IF($A$6="Tariffs is a % of some base tariff",Calculations!F$82,IF($A$6="LCOE",Calculations!F$100,IF($A$6="Time of Use(ToU) tariff",Calculations!F$102,IF($A$6="Other-please specify",Calculations!F$106,"")))))))</f>
        <v>#DIV/0!</v>
      </c>
      <c r="F19" s="440" t="e">
        <f>IF($A$6="kWh/PAYG/Energy-based tariff",Calculations!G$68,IF($A$6="Flat rate tariff (Revenues/No. of Customers)",Calculations!G$70,IF($A$6="Fixed charge+kWh charge tariff",Calculations!G$97,IF($A$6="Tariffs is a % of some base tariff",Calculations!G$82,IF($A$6="LCOE",Calculations!G$100,IF($A$6="Time of Use(ToU) tariff",Calculations!G$102,IF($A$6="Other-please specify",Calculations!G$106,"")))))))</f>
        <v>#DIV/0!</v>
      </c>
      <c r="G19" s="441" t="e">
        <f>IF($A$6="kWh/PAYG/Energy-based tariff",Calculations!H$68,IF($A$6="Flat rate tariff (Revenues/No. of Customers)",Calculations!H$70,IF($A$6="Fixed charge+kWh charge tariff",Calculations!H$97,IF($A$6="Tariffs is a % of some base tariff",Calculations!H$82,IF($A$6="LCOE",Calculations!H$100,IF($A$6="Time of Use(ToU) tariff",Calculations!H$102,IF($A$6="Other-please specify",Calculations!H$106,"")))))))</f>
        <v>#DIV/0!</v>
      </c>
      <c r="I19" s="61"/>
      <c r="J19" s="163"/>
      <c r="K19" s="170"/>
      <c r="L19" s="170"/>
      <c r="M19" s="170"/>
      <c r="N19" s="170"/>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c r="IV19" s="171"/>
      <c r="IW19" s="171"/>
      <c r="IX19" s="171"/>
      <c r="IY19" s="171"/>
      <c r="IZ19" s="171"/>
      <c r="JA19" s="171"/>
      <c r="JB19" s="171"/>
      <c r="JC19" s="171"/>
      <c r="JD19" s="171"/>
      <c r="JE19" s="171"/>
      <c r="JF19" s="171"/>
      <c r="JG19" s="171"/>
      <c r="JH19" s="171"/>
      <c r="JI19" s="171"/>
      <c r="JJ19" s="171"/>
      <c r="JK19" s="171"/>
      <c r="JL19" s="171"/>
      <c r="JM19" s="171"/>
      <c r="JN19" s="171"/>
      <c r="JO19" s="171"/>
      <c r="JP19" s="171"/>
      <c r="JQ19" s="171"/>
      <c r="JR19" s="171"/>
      <c r="JS19" s="171"/>
      <c r="JT19" s="171"/>
      <c r="JU19" s="171"/>
      <c r="JV19" s="171"/>
      <c r="JW19" s="171"/>
      <c r="JX19" s="171"/>
      <c r="JY19" s="171"/>
      <c r="JZ19" s="171"/>
      <c r="KA19" s="171"/>
      <c r="KB19" s="171"/>
      <c r="KC19" s="171"/>
      <c r="KD19" s="171"/>
      <c r="KE19" s="171"/>
      <c r="KF19" s="171"/>
      <c r="KG19" s="171"/>
      <c r="KH19" s="171"/>
      <c r="KI19" s="171"/>
      <c r="KJ19" s="171"/>
      <c r="KK19" s="171"/>
      <c r="KL19" s="171"/>
      <c r="KM19" s="171"/>
      <c r="KN19" s="171"/>
      <c r="KO19" s="171"/>
      <c r="KP19" s="171"/>
      <c r="KQ19" s="171"/>
      <c r="KR19" s="171"/>
      <c r="KS19" s="171"/>
    </row>
    <row r="20" spans="1:305" s="169" customFormat="1" ht="13.2" customHeight="1" x14ac:dyDescent="0.3">
      <c r="A20" s="597"/>
      <c r="B20" s="437" t="str">
        <f>IF($A$6="Fixed charge+kWh charge tariff","kWh charge","")</f>
        <v/>
      </c>
      <c r="C20" s="442" t="str">
        <f>IF($A$6="Fixed charge+kWh charge tariff",Calculations!D98,"")</f>
        <v/>
      </c>
      <c r="D20" s="442" t="str">
        <f>IF($A$6="Fixed charge+kWh charge tariff",Calculations!E98,"")</f>
        <v/>
      </c>
      <c r="E20" s="442" t="str">
        <f>IF($A$6="Fixed charge+kWh charge tariff",Calculations!F98,"")</f>
        <v/>
      </c>
      <c r="F20" s="442" t="str">
        <f>IF($A$6="Fixed charge+kWh charge tariff",Calculations!G98,"")</f>
        <v/>
      </c>
      <c r="G20" s="443" t="str">
        <f>IF($A$6="Fixed charge+kWh charge tariff",Calculations!H98,"")</f>
        <v/>
      </c>
      <c r="I20" s="61"/>
      <c r="J20" s="163"/>
      <c r="K20" s="170"/>
      <c r="L20" s="170"/>
      <c r="M20" s="170"/>
      <c r="N20" s="170"/>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c r="IW20" s="171"/>
      <c r="IX20" s="171"/>
      <c r="IY20" s="171"/>
      <c r="IZ20" s="171"/>
      <c r="JA20" s="171"/>
      <c r="JB20" s="171"/>
      <c r="JC20" s="171"/>
      <c r="JD20" s="171"/>
      <c r="JE20" s="171"/>
      <c r="JF20" s="171"/>
      <c r="JG20" s="171"/>
      <c r="JH20" s="171"/>
      <c r="JI20" s="171"/>
      <c r="JJ20" s="171"/>
      <c r="JK20" s="171"/>
      <c r="JL20" s="171"/>
      <c r="JM20" s="171"/>
      <c r="JN20" s="171"/>
      <c r="JO20" s="171"/>
      <c r="JP20" s="171"/>
      <c r="JQ20" s="171"/>
      <c r="JR20" s="171"/>
      <c r="JS20" s="171"/>
      <c r="JT20" s="171"/>
      <c r="JU20" s="171"/>
      <c r="JV20" s="171"/>
      <c r="JW20" s="171"/>
      <c r="JX20" s="171"/>
      <c r="JY20" s="171"/>
      <c r="JZ20" s="171"/>
      <c r="KA20" s="171"/>
      <c r="KB20" s="171"/>
      <c r="KC20" s="171"/>
      <c r="KD20" s="171"/>
      <c r="KE20" s="171"/>
      <c r="KF20" s="171"/>
      <c r="KG20" s="171"/>
      <c r="KH20" s="171"/>
      <c r="KI20" s="171"/>
      <c r="KJ20" s="171"/>
      <c r="KK20" s="171"/>
      <c r="KL20" s="171"/>
      <c r="KM20" s="171"/>
      <c r="KN20" s="171"/>
      <c r="KO20" s="171"/>
      <c r="KP20" s="171"/>
      <c r="KQ20" s="171"/>
      <c r="KR20" s="171"/>
      <c r="KS20" s="171"/>
    </row>
    <row r="21" spans="1:305" s="169" customFormat="1" x14ac:dyDescent="0.3">
      <c r="A21" s="174"/>
      <c r="B21" s="444"/>
      <c r="C21" s="445"/>
      <c r="D21" s="446"/>
      <c r="E21" s="447"/>
      <c r="F21" s="446"/>
      <c r="G21" s="251"/>
      <c r="I21" s="61"/>
      <c r="J21" s="170"/>
      <c r="K21" s="170"/>
      <c r="L21" s="170"/>
      <c r="M21" s="170"/>
      <c r="N21" s="170"/>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c r="IW21" s="171"/>
      <c r="IX21" s="171"/>
      <c r="IY21" s="171"/>
      <c r="IZ21" s="171"/>
      <c r="JA21" s="171"/>
      <c r="JB21" s="171"/>
      <c r="JC21" s="171"/>
      <c r="JD21" s="171"/>
      <c r="JE21" s="171"/>
      <c r="JF21" s="171"/>
      <c r="JG21" s="171"/>
      <c r="JH21" s="171"/>
      <c r="JI21" s="171"/>
      <c r="JJ21" s="171"/>
      <c r="JK21" s="171"/>
      <c r="JL21" s="171"/>
      <c r="JM21" s="171"/>
      <c r="JN21" s="171"/>
      <c r="JO21" s="171"/>
      <c r="JP21" s="171"/>
      <c r="JQ21" s="171"/>
      <c r="JR21" s="171"/>
      <c r="JS21" s="171"/>
      <c r="JT21" s="171"/>
      <c r="JU21" s="171"/>
      <c r="JV21" s="171"/>
      <c r="JW21" s="171"/>
      <c r="JX21" s="171"/>
      <c r="JY21" s="171"/>
      <c r="JZ21" s="171"/>
      <c r="KA21" s="171"/>
      <c r="KB21" s="171"/>
      <c r="KC21" s="171"/>
      <c r="KD21" s="171"/>
      <c r="KE21" s="171"/>
      <c r="KF21" s="171"/>
      <c r="KG21" s="171"/>
      <c r="KH21" s="171"/>
      <c r="KI21" s="171"/>
      <c r="KJ21" s="171"/>
      <c r="KK21" s="171"/>
      <c r="KL21" s="171"/>
      <c r="KM21" s="171"/>
      <c r="KN21" s="171"/>
      <c r="KO21" s="171"/>
      <c r="KP21" s="171"/>
      <c r="KQ21" s="171"/>
      <c r="KR21" s="171"/>
      <c r="KS21" s="171"/>
    </row>
    <row r="22" spans="1:305" x14ac:dyDescent="0.3">
      <c r="A22" s="175" t="s">
        <v>319</v>
      </c>
      <c r="B22" s="17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157"/>
    </row>
    <row r="49" spans="1:131" s="61" customFormat="1" x14ac:dyDescent="0.3">
      <c r="A49" s="57"/>
      <c r="B49" s="155" t="s">
        <v>150</v>
      </c>
      <c r="C49" s="156">
        <v>1</v>
      </c>
      <c r="D49" s="156">
        <f>C49+1</f>
        <v>2</v>
      </c>
      <c r="E49" s="156">
        <f t="shared" ref="E49" si="1">D49+1</f>
        <v>3</v>
      </c>
      <c r="F49" s="156">
        <f t="shared" ref="F49" si="2">E49+1</f>
        <v>4</v>
      </c>
      <c r="G49" s="156">
        <f t="shared" ref="G49" si="3">F49+1</f>
        <v>5</v>
      </c>
      <c r="H49" s="156">
        <f t="shared" ref="H49" si="4">G49+1</f>
        <v>6</v>
      </c>
      <c r="I49" s="156">
        <f t="shared" ref="I49" si="5">H49+1</f>
        <v>7</v>
      </c>
      <c r="J49" s="156">
        <f t="shared" ref="J49" si="6">I49+1</f>
        <v>8</v>
      </c>
      <c r="K49" s="156">
        <f t="shared" ref="K49" si="7">J49+1</f>
        <v>9</v>
      </c>
      <c r="L49" s="156">
        <f t="shared" ref="L49" si="8">K49+1</f>
        <v>10</v>
      </c>
      <c r="M49" s="156">
        <f t="shared" ref="M49" si="9">L49+1</f>
        <v>11</v>
      </c>
      <c r="N49" s="156">
        <f t="shared" ref="N49" si="10">M49+1</f>
        <v>12</v>
      </c>
      <c r="O49" s="156">
        <f t="shared" ref="O49" si="11">N49+1</f>
        <v>13</v>
      </c>
      <c r="P49" s="156">
        <f t="shared" ref="P49" si="12">O49+1</f>
        <v>14</v>
      </c>
      <c r="Q49" s="156">
        <f t="shared" ref="Q49" si="13">P49+1</f>
        <v>15</v>
      </c>
      <c r="R49" s="156">
        <f t="shared" ref="R49" si="14">Q49+1</f>
        <v>16</v>
      </c>
      <c r="S49" s="156">
        <f t="shared" ref="S49" si="15">R49+1</f>
        <v>17</v>
      </c>
      <c r="T49" s="156">
        <f t="shared" ref="T49" si="16">S49+1</f>
        <v>18</v>
      </c>
      <c r="U49" s="156">
        <f t="shared" ref="U49" si="17">T49+1</f>
        <v>19</v>
      </c>
      <c r="V49" s="156">
        <f t="shared" ref="V49" si="18">U49+1</f>
        <v>20</v>
      </c>
      <c r="W49" s="156">
        <f t="shared" ref="W49" si="19">V49+1</f>
        <v>21</v>
      </c>
      <c r="X49" s="156">
        <f t="shared" ref="X49" si="20">W49+1</f>
        <v>22</v>
      </c>
      <c r="Y49" s="156">
        <f t="shared" ref="Y49" si="21">X49+1</f>
        <v>23</v>
      </c>
      <c r="Z49" s="156">
        <f t="shared" ref="Z49" si="22">Y49+1</f>
        <v>24</v>
      </c>
      <c r="AA49" s="156">
        <f t="shared" ref="AA49" si="23">Z49+1</f>
        <v>25</v>
      </c>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row>
    <row r="50" spans="1:131" x14ac:dyDescent="0.3">
      <c r="A50" s="158" t="s">
        <v>320</v>
      </c>
      <c r="B50" s="159"/>
    </row>
    <row r="51" spans="1:131" x14ac:dyDescent="0.3">
      <c r="A51" s="93" t="s">
        <v>203</v>
      </c>
      <c r="B51" s="395"/>
      <c r="C51" s="395" t="s">
        <v>186</v>
      </c>
      <c r="D51" s="395" t="s">
        <v>186</v>
      </c>
      <c r="E51" s="395" t="s">
        <v>186</v>
      </c>
      <c r="F51" s="395" t="s">
        <v>186</v>
      </c>
      <c r="G51" s="395" t="s">
        <v>186</v>
      </c>
    </row>
    <row r="52" spans="1:131" x14ac:dyDescent="0.3">
      <c r="A52" s="396" t="s">
        <v>369</v>
      </c>
      <c r="B52" s="397"/>
      <c r="C52" s="448">
        <f>Calculations!D132</f>
        <v>0</v>
      </c>
      <c r="D52" s="448">
        <f>Calculations!E132</f>
        <v>0</v>
      </c>
      <c r="E52" s="448">
        <f>Calculations!F132</f>
        <v>0</v>
      </c>
      <c r="F52" s="448">
        <f>Calculations!G132</f>
        <v>0</v>
      </c>
      <c r="G52" s="448">
        <f>Calculations!H132</f>
        <v>0</v>
      </c>
    </row>
    <row r="53" spans="1:131" x14ac:dyDescent="0.3">
      <c r="A53" s="398" t="s">
        <v>370</v>
      </c>
      <c r="B53" s="399"/>
      <c r="C53" s="399">
        <v>1.25</v>
      </c>
      <c r="D53" s="399">
        <f>C53</f>
        <v>1.25</v>
      </c>
      <c r="E53" s="399">
        <f t="shared" ref="E53:G55" si="24">D53</f>
        <v>1.25</v>
      </c>
      <c r="F53" s="399">
        <f t="shared" si="24"/>
        <v>1.25</v>
      </c>
      <c r="G53" s="399">
        <f t="shared" si="24"/>
        <v>1.25</v>
      </c>
    </row>
    <row r="54" spans="1:131" x14ac:dyDescent="0.3">
      <c r="A54" s="396" t="s">
        <v>204</v>
      </c>
      <c r="B54" s="397"/>
      <c r="C54" s="448">
        <f>Calculations!D133</f>
        <v>0</v>
      </c>
      <c r="D54" s="448">
        <f>Calculations!E133</f>
        <v>0</v>
      </c>
      <c r="E54" s="448">
        <f>Calculations!F133</f>
        <v>0</v>
      </c>
      <c r="F54" s="448">
        <f>Calculations!G133</f>
        <v>0</v>
      </c>
      <c r="G54" s="448">
        <f>Calculations!H133</f>
        <v>0</v>
      </c>
    </row>
    <row r="55" spans="1:131" x14ac:dyDescent="0.3">
      <c r="A55" s="398" t="s">
        <v>371</v>
      </c>
      <c r="B55" s="399"/>
      <c r="C55" s="399">
        <v>2</v>
      </c>
      <c r="D55" s="399">
        <f>C55</f>
        <v>2</v>
      </c>
      <c r="E55" s="399">
        <f t="shared" si="24"/>
        <v>2</v>
      </c>
      <c r="F55" s="399">
        <f t="shared" si="24"/>
        <v>2</v>
      </c>
      <c r="G55" s="399">
        <f t="shared" si="24"/>
        <v>2</v>
      </c>
    </row>
    <row r="56" spans="1:131" x14ac:dyDescent="0.3">
      <c r="A56" s="396" t="s">
        <v>205</v>
      </c>
      <c r="B56" s="400"/>
      <c r="C56" s="269">
        <f>Calculations!D134</f>
        <v>0</v>
      </c>
      <c r="D56" s="269">
        <f>Calculations!E134</f>
        <v>0</v>
      </c>
      <c r="E56" s="269">
        <f>Calculations!F134</f>
        <v>0</v>
      </c>
      <c r="F56" s="269">
        <f>Calculations!G134</f>
        <v>0</v>
      </c>
      <c r="G56" s="269">
        <f>Calculations!H134</f>
        <v>0</v>
      </c>
    </row>
    <row r="57" spans="1:131" x14ac:dyDescent="0.3">
      <c r="B57" s="401"/>
      <c r="C57" s="401"/>
      <c r="D57" s="401"/>
      <c r="E57" s="401"/>
      <c r="F57" s="401"/>
    </row>
    <row r="58" spans="1:131" x14ac:dyDescent="0.3">
      <c r="A58" s="93" t="s">
        <v>301</v>
      </c>
      <c r="B58" s="395"/>
      <c r="C58" s="395" t="s">
        <v>186</v>
      </c>
    </row>
    <row r="59" spans="1:131" x14ac:dyDescent="0.3">
      <c r="A59" s="396" t="s">
        <v>303</v>
      </c>
      <c r="B59" s="400"/>
      <c r="C59" s="449" t="e">
        <f>Calculations!B138</f>
        <v>#DIV/0!</v>
      </c>
    </row>
    <row r="60" spans="1:131" x14ac:dyDescent="0.3">
      <c r="A60" s="396" t="s">
        <v>305</v>
      </c>
      <c r="B60" s="402"/>
      <c r="C60" s="188" t="e">
        <f>Calculations!B139</f>
        <v>#DIV/0!</v>
      </c>
    </row>
    <row r="61" spans="1:131" x14ac:dyDescent="0.3">
      <c r="A61" s="396" t="s">
        <v>202</v>
      </c>
      <c r="B61" s="402"/>
      <c r="C61" s="188" t="e">
        <f>Calculations!B140</f>
        <v>#DIV/0!</v>
      </c>
    </row>
    <row r="62" spans="1:131" x14ac:dyDescent="0.3">
      <c r="B62" s="159"/>
    </row>
    <row r="63" spans="1:131" x14ac:dyDescent="0.3">
      <c r="A63" s="158" t="s">
        <v>416</v>
      </c>
      <c r="B63" s="159"/>
    </row>
    <row r="64" spans="1:131" x14ac:dyDescent="0.3">
      <c r="B64" s="159"/>
    </row>
    <row r="65" spans="2:2" x14ac:dyDescent="0.3">
      <c r="B65" s="159"/>
    </row>
    <row r="66" spans="2:2" x14ac:dyDescent="0.3">
      <c r="B66" s="159"/>
    </row>
    <row r="67" spans="2:2" x14ac:dyDescent="0.3">
      <c r="B67" s="159"/>
    </row>
    <row r="68" spans="2:2" x14ac:dyDescent="0.3">
      <c r="B68" s="159"/>
    </row>
    <row r="69" spans="2:2" x14ac:dyDescent="0.3">
      <c r="B69" s="159"/>
    </row>
    <row r="70" spans="2:2" x14ac:dyDescent="0.3">
      <c r="B70" s="159"/>
    </row>
    <row r="71" spans="2:2" x14ac:dyDescent="0.3">
      <c r="B71" s="159"/>
    </row>
    <row r="72" spans="2:2" x14ac:dyDescent="0.3">
      <c r="B72" s="159"/>
    </row>
    <row r="73" spans="2:2" x14ac:dyDescent="0.3">
      <c r="B73" s="159"/>
    </row>
    <row r="74" spans="2:2" x14ac:dyDescent="0.3">
      <c r="B74" s="159"/>
    </row>
    <row r="75" spans="2:2" x14ac:dyDescent="0.3">
      <c r="B75" s="159"/>
    </row>
    <row r="76" spans="2:2" x14ac:dyDescent="0.3">
      <c r="B76" s="159"/>
    </row>
    <row r="77" spans="2:2" x14ac:dyDescent="0.3">
      <c r="B77" s="159"/>
    </row>
    <row r="78" spans="2:2" x14ac:dyDescent="0.3">
      <c r="B78" s="159"/>
    </row>
    <row r="79" spans="2:2" x14ac:dyDescent="0.3">
      <c r="B79" s="159"/>
    </row>
    <row r="80" spans="2:2" x14ac:dyDescent="0.3">
      <c r="B80" s="159"/>
    </row>
    <row r="81" spans="1:131" x14ac:dyDescent="0.3">
      <c r="B81" s="159"/>
    </row>
    <row r="82" spans="1:131" s="61" customFormat="1" x14ac:dyDescent="0.3">
      <c r="A82" s="57"/>
      <c r="B82" s="155" t="s">
        <v>150</v>
      </c>
      <c r="C82" s="156">
        <v>1</v>
      </c>
      <c r="D82" s="156">
        <f>C82+1</f>
        <v>2</v>
      </c>
      <c r="E82" s="156">
        <f t="shared" ref="E82" si="25">D82+1</f>
        <v>3</v>
      </c>
      <c r="F82" s="156">
        <f t="shared" ref="F82" si="26">E82+1</f>
        <v>4</v>
      </c>
      <c r="G82" s="156">
        <f t="shared" ref="G82" si="27">F82+1</f>
        <v>5</v>
      </c>
      <c r="H82" s="156">
        <f t="shared" ref="H82" si="28">G82+1</f>
        <v>6</v>
      </c>
      <c r="I82" s="156">
        <f t="shared" ref="I82" si="29">H82+1</f>
        <v>7</v>
      </c>
      <c r="J82" s="156">
        <f t="shared" ref="J82" si="30">I82+1</f>
        <v>8</v>
      </c>
      <c r="K82" s="156">
        <f t="shared" ref="K82" si="31">J82+1</f>
        <v>9</v>
      </c>
      <c r="L82" s="156">
        <f t="shared" ref="L82" si="32">K82+1</f>
        <v>10</v>
      </c>
      <c r="M82" s="156">
        <f t="shared" ref="M82" si="33">L82+1</f>
        <v>11</v>
      </c>
      <c r="N82" s="156">
        <f t="shared" ref="N82" si="34">M82+1</f>
        <v>12</v>
      </c>
      <c r="O82" s="156">
        <f t="shared" ref="O82" si="35">N82+1</f>
        <v>13</v>
      </c>
      <c r="P82" s="156">
        <f t="shared" ref="P82" si="36">O82+1</f>
        <v>14</v>
      </c>
      <c r="Q82" s="156">
        <f t="shared" ref="Q82" si="37">P82+1</f>
        <v>15</v>
      </c>
      <c r="R82" s="156">
        <f t="shared" ref="R82" si="38">Q82+1</f>
        <v>16</v>
      </c>
      <c r="S82" s="156">
        <f t="shared" ref="S82" si="39">R82+1</f>
        <v>17</v>
      </c>
      <c r="T82" s="156">
        <f t="shared" ref="T82" si="40">S82+1</f>
        <v>18</v>
      </c>
      <c r="U82" s="156">
        <f t="shared" ref="U82" si="41">T82+1</f>
        <v>19</v>
      </c>
      <c r="V82" s="156">
        <f t="shared" ref="V82" si="42">U82+1</f>
        <v>20</v>
      </c>
      <c r="W82" s="156">
        <f t="shared" ref="W82" si="43">V82+1</f>
        <v>21</v>
      </c>
      <c r="X82" s="156">
        <f t="shared" ref="X82" si="44">W82+1</f>
        <v>22</v>
      </c>
      <c r="Y82" s="156">
        <f t="shared" ref="Y82" si="45">X82+1</f>
        <v>23</v>
      </c>
      <c r="Z82" s="156">
        <f t="shared" ref="Z82" si="46">Y82+1</f>
        <v>24</v>
      </c>
      <c r="AA82" s="156">
        <f t="shared" ref="AA82" si="47">Z82+1</f>
        <v>25</v>
      </c>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c r="CL82" s="157"/>
      <c r="CM82" s="157"/>
      <c r="CN82" s="157"/>
      <c r="CO82" s="157"/>
      <c r="CP82" s="157"/>
      <c r="CQ82" s="157"/>
      <c r="CR82" s="157"/>
      <c r="CS82" s="157"/>
      <c r="CT82" s="157"/>
      <c r="CU82" s="157"/>
      <c r="CV82" s="157"/>
      <c r="CW82" s="157"/>
      <c r="CX82" s="157"/>
      <c r="CY82" s="157"/>
      <c r="CZ82" s="157"/>
      <c r="DA82" s="157"/>
      <c r="DB82" s="157"/>
      <c r="DC82" s="157"/>
      <c r="DD82" s="157"/>
      <c r="DE82" s="157"/>
      <c r="DF82" s="157"/>
      <c r="DG82" s="157"/>
      <c r="DH82" s="157"/>
      <c r="DI82" s="157"/>
      <c r="DJ82" s="157"/>
      <c r="DK82" s="157"/>
      <c r="DL82" s="157"/>
      <c r="DM82" s="157"/>
      <c r="DN82" s="157"/>
      <c r="DO82" s="157"/>
      <c r="DP82" s="157"/>
      <c r="DQ82" s="157"/>
      <c r="DR82" s="157"/>
      <c r="DS82" s="157"/>
      <c r="DT82" s="157"/>
      <c r="DU82" s="157"/>
      <c r="DV82" s="157"/>
      <c r="DW82" s="157"/>
      <c r="DX82" s="157"/>
      <c r="DY82" s="157"/>
      <c r="DZ82" s="157"/>
      <c r="EA82" s="157"/>
    </row>
    <row r="83" spans="1:131" x14ac:dyDescent="0.3">
      <c r="A83" s="403" t="s">
        <v>321</v>
      </c>
      <c r="B83" s="2" t="s">
        <v>527</v>
      </c>
    </row>
    <row r="84" spans="1:131" x14ac:dyDescent="0.3">
      <c r="A84" s="396" t="s">
        <v>276</v>
      </c>
      <c r="B84" s="450" t="str">
        <f>Inputs!B24</f>
        <v>NGN</v>
      </c>
      <c r="C84" s="269" t="e">
        <f>Calculations!D53*Calculations!D54</f>
        <v>#DIV/0!</v>
      </c>
      <c r="D84" s="269" t="e">
        <f>Calculations!E53*Calculations!E54</f>
        <v>#DIV/0!</v>
      </c>
      <c r="E84" s="269" t="e">
        <f>Calculations!F53*Calculations!F54</f>
        <v>#DIV/0!</v>
      </c>
      <c r="F84" s="269" t="e">
        <f>Calculations!G53*Calculations!G54</f>
        <v>#DIV/0!</v>
      </c>
      <c r="G84" s="449" t="e">
        <f>Calculations!H53*Calculations!H54</f>
        <v>#DIV/0!</v>
      </c>
    </row>
    <row r="85" spans="1:131" x14ac:dyDescent="0.3">
      <c r="A85" s="396" t="s">
        <v>277</v>
      </c>
      <c r="B85" s="450" t="str">
        <f>Inputs!B24</f>
        <v>NGN</v>
      </c>
      <c r="C85" s="269" t="e">
        <f>Calculations!D53*Calculations!D55</f>
        <v>#DIV/0!</v>
      </c>
      <c r="D85" s="269" t="e">
        <f>Calculations!E53*Calculations!E55</f>
        <v>#DIV/0!</v>
      </c>
      <c r="E85" s="269" t="e">
        <f>Calculations!F53*Calculations!F55</f>
        <v>#DIV/0!</v>
      </c>
      <c r="F85" s="269" t="e">
        <f>Calculations!G53*Calculations!G55</f>
        <v>#DIV/0!</v>
      </c>
      <c r="G85" s="449" t="e">
        <f>Calculations!H53*Calculations!H55</f>
        <v>#DIV/0!</v>
      </c>
    </row>
    <row r="86" spans="1:131" x14ac:dyDescent="0.3">
      <c r="A86" s="396" t="s">
        <v>278</v>
      </c>
      <c r="B86" s="450" t="str">
        <f>Inputs!B24</f>
        <v>NGN</v>
      </c>
      <c r="C86" s="269" t="e">
        <f>Calculations!D53*Calculations!D56</f>
        <v>#DIV/0!</v>
      </c>
      <c r="D86" s="269" t="e">
        <f>Calculations!E53*Calculations!E56</f>
        <v>#DIV/0!</v>
      </c>
      <c r="E86" s="269" t="e">
        <f>Calculations!F53*Calculations!F56</f>
        <v>#DIV/0!</v>
      </c>
      <c r="F86" s="269" t="e">
        <f>Calculations!G53*Calculations!G56</f>
        <v>#DIV/0!</v>
      </c>
      <c r="G86" s="449" t="e">
        <f>Calculations!H53*Calculations!H56</f>
        <v>#DIV/0!</v>
      </c>
    </row>
    <row r="87" spans="1:131" x14ac:dyDescent="0.3">
      <c r="A87" s="326" t="s">
        <v>279</v>
      </c>
      <c r="B87" s="451"/>
      <c r="C87" s="150" t="e">
        <f>SUM(C84:C86)</f>
        <v>#DIV/0!</v>
      </c>
      <c r="D87" s="150" t="e">
        <f t="shared" ref="D87:G87" si="48">SUM(D84:D86)</f>
        <v>#DIV/0!</v>
      </c>
      <c r="E87" s="150" t="e">
        <f t="shared" si="48"/>
        <v>#DIV/0!</v>
      </c>
      <c r="F87" s="150" t="e">
        <f t="shared" si="48"/>
        <v>#DIV/0!</v>
      </c>
      <c r="G87" s="150" t="e">
        <f t="shared" si="48"/>
        <v>#DIV/0!</v>
      </c>
    </row>
    <row r="89" spans="1:131" x14ac:dyDescent="0.3">
      <c r="A89" s="403" t="s">
        <v>417</v>
      </c>
    </row>
    <row r="109" spans="1:28" x14ac:dyDescent="0.3">
      <c r="A109" s="158" t="s">
        <v>528</v>
      </c>
    </row>
    <row r="110" spans="1:28" ht="15.6" x14ac:dyDescent="0.3">
      <c r="A110" s="405"/>
      <c r="B110" s="405"/>
      <c r="C110" s="156">
        <v>1</v>
      </c>
      <c r="D110" s="156">
        <f>C110+1</f>
        <v>2</v>
      </c>
      <c r="E110" s="156">
        <f t="shared" ref="E110:AA110" si="49">D110+1</f>
        <v>3</v>
      </c>
      <c r="F110" s="156">
        <f t="shared" si="49"/>
        <v>4</v>
      </c>
      <c r="G110" s="156">
        <f t="shared" si="49"/>
        <v>5</v>
      </c>
      <c r="H110" s="156">
        <f t="shared" si="49"/>
        <v>6</v>
      </c>
      <c r="I110" s="156">
        <f t="shared" si="49"/>
        <v>7</v>
      </c>
      <c r="J110" s="156">
        <f t="shared" si="49"/>
        <v>8</v>
      </c>
      <c r="K110" s="156">
        <f t="shared" si="49"/>
        <v>9</v>
      </c>
      <c r="L110" s="156">
        <f t="shared" si="49"/>
        <v>10</v>
      </c>
      <c r="M110" s="156">
        <f t="shared" si="49"/>
        <v>11</v>
      </c>
      <c r="N110" s="156">
        <f t="shared" si="49"/>
        <v>12</v>
      </c>
      <c r="O110" s="156">
        <f t="shared" si="49"/>
        <v>13</v>
      </c>
      <c r="P110" s="156">
        <f t="shared" si="49"/>
        <v>14</v>
      </c>
      <c r="Q110" s="156">
        <f t="shared" si="49"/>
        <v>15</v>
      </c>
      <c r="R110" s="156">
        <f t="shared" si="49"/>
        <v>16</v>
      </c>
      <c r="S110" s="156">
        <f t="shared" si="49"/>
        <v>17</v>
      </c>
      <c r="T110" s="156">
        <f t="shared" si="49"/>
        <v>18</v>
      </c>
      <c r="U110" s="156">
        <f t="shared" si="49"/>
        <v>19</v>
      </c>
      <c r="V110" s="156">
        <f t="shared" si="49"/>
        <v>20</v>
      </c>
      <c r="W110" s="156">
        <f t="shared" si="49"/>
        <v>21</v>
      </c>
      <c r="X110" s="156">
        <f t="shared" si="49"/>
        <v>22</v>
      </c>
      <c r="Y110" s="156">
        <f t="shared" si="49"/>
        <v>23</v>
      </c>
      <c r="Z110" s="156">
        <f t="shared" si="49"/>
        <v>24</v>
      </c>
      <c r="AA110" s="156">
        <f t="shared" si="49"/>
        <v>25</v>
      </c>
      <c r="AB110" s="157"/>
    </row>
    <row r="111" spans="1:28" hidden="1" x14ac:dyDescent="0.3">
      <c r="A111" s="94" t="s">
        <v>410</v>
      </c>
      <c r="B111" s="94"/>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157"/>
    </row>
    <row r="112" spans="1:28" x14ac:dyDescent="0.3">
      <c r="A112" s="294" t="s">
        <v>165</v>
      </c>
      <c r="B112" s="452" t="s">
        <v>185</v>
      </c>
      <c r="C112" s="1">
        <f>IF(C$110&lt;=Inputs!$C$16,IF($B112="Yes",Inputs!$AH$128,""),"")</f>
        <v>0</v>
      </c>
      <c r="D112" s="1">
        <f>IF(D$110&lt;=Inputs!$C$16,IF($B112="Yes",Inputs!$AH$128,""),"")</f>
        <v>0</v>
      </c>
      <c r="E112" s="1">
        <f>IF(E$110&lt;=Inputs!$C$16,IF($B112="Yes",Inputs!$AH$128,""),"")</f>
        <v>0</v>
      </c>
      <c r="F112" s="1">
        <f>IF(F$110&lt;=Inputs!$C$16,IF($B112="Yes",Inputs!$AH$128,""),"")</f>
        <v>0</v>
      </c>
      <c r="G112" s="1">
        <f>IF(G$110&lt;=Inputs!$C$16,IF($B112="Yes",Inputs!$AH$128,""),"")</f>
        <v>0</v>
      </c>
      <c r="H112" s="1">
        <f>IF(H$110&lt;=Inputs!$C$16,IF($B112="Yes",Inputs!$AH$128,""),"")</f>
        <v>0</v>
      </c>
      <c r="I112" s="1">
        <f>IF(I$110&lt;=Inputs!$C$16,IF($B112="Yes",Inputs!$AH$128,""),"")</f>
        <v>0</v>
      </c>
      <c r="J112" s="1">
        <f>IF(J$110&lt;=Inputs!$C$16,IF($B112="Yes",Inputs!$AH$128,""),"")</f>
        <v>0</v>
      </c>
      <c r="K112" s="1">
        <f>IF(K$110&lt;=Inputs!$C$16,IF($B112="Yes",Inputs!$AH$128,""),"")</f>
        <v>0</v>
      </c>
      <c r="L112" s="1">
        <f>IF(L$110&lt;=Inputs!$C$16,IF($B112="Yes",Inputs!$AH$128,""),"")</f>
        <v>0</v>
      </c>
      <c r="M112" s="1">
        <f>IF(M$110&lt;=Inputs!$C$16,IF($B112="Yes",Inputs!$AH$128,""),"")</f>
        <v>0</v>
      </c>
      <c r="N112" s="1">
        <f>IF(N$110&lt;=Inputs!$C$16,IF($B112="Yes",Inputs!$AH$128,""),"")</f>
        <v>0</v>
      </c>
      <c r="O112" s="1">
        <f>IF(O$110&lt;=Inputs!$C$16,IF($B112="Yes",Inputs!$AH$128,""),"")</f>
        <v>0</v>
      </c>
      <c r="P112" s="1">
        <f>IF(P$110&lt;=Inputs!$C$16,IF($B112="Yes",Inputs!$AH$128,""),"")</f>
        <v>0</v>
      </c>
      <c r="Q112" s="1">
        <f>IF(Q$110&lt;=Inputs!$C$16,IF($B112="Yes",Inputs!$AH$128,""),"")</f>
        <v>0</v>
      </c>
      <c r="R112" s="1">
        <f>IF(R$110&lt;=Inputs!$C$16,IF($B112="Yes",Inputs!$AH$128,""),"")</f>
        <v>0</v>
      </c>
      <c r="S112" s="1">
        <f>IF(S$110&lt;=Inputs!$C$16,IF($B112="Yes",Inputs!$AH$128,""),"")</f>
        <v>0</v>
      </c>
      <c r="T112" s="1">
        <f>IF(T$110&lt;=Inputs!$C$16,IF($B112="Yes",Inputs!$AH$128,""),"")</f>
        <v>0</v>
      </c>
      <c r="U112" s="1">
        <f>IF(U$110&lt;=Inputs!$C$16,IF($B112="Yes",Inputs!$AH$128,""),"")</f>
        <v>0</v>
      </c>
      <c r="V112" s="1">
        <f>IF(V$110&lt;=Inputs!$C$16,IF($B112="Yes",Inputs!$AH$128,""),"")</f>
        <v>0</v>
      </c>
      <c r="W112" s="1">
        <f>IF(W$110&lt;=Inputs!$C$16,IF($B112="Yes",Inputs!$AH$128,""),"")</f>
        <v>0</v>
      </c>
      <c r="X112" s="1">
        <f>IF(X$110&lt;=Inputs!$C$16,IF($B112="Yes",Inputs!$AH$128,""),"")</f>
        <v>0</v>
      </c>
      <c r="Y112" s="1">
        <f>IF(Y$110&lt;=Inputs!$C$16,IF($B112="Yes",Inputs!$AH$128,""),"")</f>
        <v>0</v>
      </c>
      <c r="Z112" s="1">
        <f>IF(Z$110&lt;=Inputs!$C$16,IF($B112="Yes",Inputs!$AH$128,""),"")</f>
        <v>0</v>
      </c>
      <c r="AA112" s="1">
        <f>IF(AA$110&lt;=Inputs!$C$16,IF($B112="Yes",Inputs!$AH$128,""),"")</f>
        <v>0</v>
      </c>
      <c r="AB112" s="296">
        <f>SUM(C112:AA112)</f>
        <v>0</v>
      </c>
    </row>
    <row r="113" spans="1:28" hidden="1" x14ac:dyDescent="0.3">
      <c r="A113" s="406" t="s">
        <v>181</v>
      </c>
      <c r="B113" s="189" t="s">
        <v>185</v>
      </c>
      <c r="C113" s="1" t="e">
        <f>IF(C110&lt;=Inputs!$C$16,IF($B113="Yes",Inputs!$AI$128*Calculations!D9,""),"")</f>
        <v>#DIV/0!</v>
      </c>
      <c r="D113" s="1" t="e">
        <f>IF(D110&lt;=Inputs!$C$16,IF($B113="Yes",Inputs!$AI$128*Calculations!E9,""),"")</f>
        <v>#DIV/0!</v>
      </c>
      <c r="E113" s="1" t="e">
        <f>IF(E110&lt;=Inputs!$C$16,IF($B113="Yes",Inputs!$AI$128*Calculations!F9,""),"")</f>
        <v>#DIV/0!</v>
      </c>
      <c r="F113" s="1" t="e">
        <f>IF(F110&lt;=Inputs!$C$16,IF($B113="Yes",Inputs!$AI$128*Calculations!G9,""),"")</f>
        <v>#DIV/0!</v>
      </c>
      <c r="G113" s="1" t="e">
        <f>IF(G110&lt;=Inputs!$C$16,IF($B113="Yes",Inputs!$AI$128*Calculations!H9,""),"")</f>
        <v>#DIV/0!</v>
      </c>
      <c r="H113" s="1" t="e">
        <f>IF(H110&lt;=Inputs!$C$16,IF($B113="Yes",Inputs!$AI$128*Calculations!I9,""),"")</f>
        <v>#DIV/0!</v>
      </c>
      <c r="I113" s="1" t="e">
        <f>IF(I110&lt;=Inputs!$C$16,IF($B113="Yes",Inputs!$AI$128*Calculations!J9,""),"")</f>
        <v>#DIV/0!</v>
      </c>
      <c r="J113" s="1" t="e">
        <f>IF(J110&lt;=Inputs!$C$16,IF($B113="Yes",Inputs!$AI$128*Calculations!K9,""),"")</f>
        <v>#DIV/0!</v>
      </c>
      <c r="K113" s="1" t="e">
        <f>IF(K110&lt;=Inputs!$C$16,IF($B113="Yes",Inputs!$AI$128*Calculations!L9,""),"")</f>
        <v>#DIV/0!</v>
      </c>
      <c r="L113" s="1" t="e">
        <f>IF(L110&lt;=Inputs!$C$16,IF($B113="Yes",Inputs!$AI$128*Calculations!M9,""),"")</f>
        <v>#DIV/0!</v>
      </c>
      <c r="M113" s="1" t="e">
        <f>IF(M110&lt;=Inputs!$C$16,IF($B113="Yes",Inputs!$AI$128*Calculations!N9,""),"")</f>
        <v>#DIV/0!</v>
      </c>
      <c r="N113" s="1" t="e">
        <f>IF(N110&lt;=Inputs!$C$16,IF($B113="Yes",Inputs!$AI$128*Calculations!O9,""),"")</f>
        <v>#DIV/0!</v>
      </c>
      <c r="O113" s="1" t="e">
        <f>IF(O110&lt;=Inputs!$C$16,IF($B113="Yes",Inputs!$AI$128*Calculations!P9,""),"")</f>
        <v>#DIV/0!</v>
      </c>
      <c r="P113" s="1" t="e">
        <f>IF(P110&lt;=Inputs!$C$16,IF($B113="Yes",Inputs!$AI$128*Calculations!Q9,""),"")</f>
        <v>#DIV/0!</v>
      </c>
      <c r="Q113" s="1" t="e">
        <f>IF(Q110&lt;=Inputs!$C$16,IF($B113="Yes",Inputs!$AI$128*Calculations!R9,""),"")</f>
        <v>#DIV/0!</v>
      </c>
      <c r="R113" s="1" t="e">
        <f>IF(R110&lt;=Inputs!$C$16,IF($B113="Yes",Inputs!$AI$128*Calculations!S9,""),"")</f>
        <v>#DIV/0!</v>
      </c>
      <c r="S113" s="1" t="e">
        <f>IF(S110&lt;=Inputs!$C$16,IF($B113="Yes",Inputs!$AI$128*Calculations!T9,""),"")</f>
        <v>#DIV/0!</v>
      </c>
      <c r="T113" s="1" t="e">
        <f>IF(T110&lt;=Inputs!$C$16,IF($B113="Yes",Inputs!$AI$128*Calculations!U9,""),"")</f>
        <v>#DIV/0!</v>
      </c>
      <c r="U113" s="1" t="e">
        <f>IF(U110&lt;=Inputs!$C$16,IF($B113="Yes",Inputs!$AI$128*Calculations!V9,""),"")</f>
        <v>#DIV/0!</v>
      </c>
      <c r="V113" s="1" t="e">
        <f>IF(V110&lt;=Inputs!$C$16,IF($B113="Yes",Inputs!$AI$128*Calculations!W9,""),"")</f>
        <v>#DIV/0!</v>
      </c>
      <c r="W113" s="1" t="e">
        <f>IF(W110&lt;=Inputs!$C$16,IF($B113="Yes",Inputs!$AI$128*Calculations!X9,""),"")</f>
        <v>#DIV/0!</v>
      </c>
      <c r="X113" s="1" t="e">
        <f>IF(X110&lt;=Inputs!$C$16,IF($B113="Yes",Inputs!$AI$128*Calculations!Y9,""),"")</f>
        <v>#DIV/0!</v>
      </c>
      <c r="Y113" s="1" t="e">
        <f>IF(Y110&lt;=Inputs!$C$16,IF($B113="Yes",Inputs!$AI$128*Calculations!Z9,""),"")</f>
        <v>#DIV/0!</v>
      </c>
      <c r="Z113" s="1" t="e">
        <f>IF(Z110&lt;=Inputs!$C$16,IF($B113="Yes",Inputs!$AI$128*Calculations!AA9,""),"")</f>
        <v>#DIV/0!</v>
      </c>
      <c r="AA113" s="1" t="e">
        <f>IF(AA110&lt;=Inputs!$C$16,IF($B113="Yes",Inputs!$AI$128*Calculations!AB9,""),"")</f>
        <v>#DIV/0!</v>
      </c>
      <c r="AB113" s="296" t="e">
        <f t="shared" ref="AB113:AB114" si="50">SUM(C113:AA113)</f>
        <v>#DIV/0!</v>
      </c>
    </row>
    <row r="114" spans="1:28" hidden="1" x14ac:dyDescent="0.3">
      <c r="A114" s="302" t="s">
        <v>182</v>
      </c>
      <c r="B114" s="189" t="s">
        <v>185</v>
      </c>
      <c r="C114" s="1" t="e">
        <f>IF(C110&lt;=Inputs!$C$16,IF($B114="Yes",((Calculations!D27*Inputs!$C$179*(1+Inputs!$C$179)^Inputs!$C$16))/((1+Inputs!$C$179)^Inputs!$C$16-1),""),"")</f>
        <v>#DIV/0!</v>
      </c>
      <c r="D114" s="1" t="e">
        <f>IF(D110&lt;=Inputs!$C$16,IF($B114="Yes",((Calculations!E27*Inputs!$C$179*(1+Inputs!$C$179)^Inputs!$C$16))/((1+Inputs!$C$179)^Inputs!$C$16-1),""),"")</f>
        <v>#DIV/0!</v>
      </c>
      <c r="E114" s="1" t="e">
        <f>IF(E110&lt;=Inputs!$C$16,IF($B114="Yes",((Calculations!F27*Inputs!$C$179*(1+Inputs!$C$179)^Inputs!$C$16))/((1+Inputs!$C$179)^Inputs!$C$16-1),""),"")</f>
        <v>#DIV/0!</v>
      </c>
      <c r="F114" s="1" t="e">
        <f>IF(F110&lt;=Inputs!$C$16,IF($B114="Yes",((Calculations!G27*Inputs!$C$179*(1+Inputs!$C$179)^Inputs!$C$16))/((1+Inputs!$C$179)^Inputs!$C$16-1),""),"")</f>
        <v>#DIV/0!</v>
      </c>
      <c r="G114" s="1" t="e">
        <f>IF(G110&lt;=Inputs!$C$16,IF($B114="Yes",((Calculations!H27*Inputs!$C$179*(1+Inputs!$C$179)^Inputs!$C$16))/((1+Inputs!$C$179)^Inputs!$C$16-1),""),"")</f>
        <v>#DIV/0!</v>
      </c>
      <c r="H114" s="1" t="e">
        <f>IF(H110&lt;=Inputs!$C$16,IF($B114="Yes",((Calculations!I27*Inputs!$C$179*(1+Inputs!$C$179)^Inputs!$C$16))/((1+Inputs!$C$179)^Inputs!$C$16-1),""),"")</f>
        <v>#DIV/0!</v>
      </c>
      <c r="I114" s="1" t="e">
        <f>IF(I110&lt;=Inputs!$C$16,IF($B114="Yes",((Calculations!J27*Inputs!$C$179*(1+Inputs!$C$179)^Inputs!$C$16))/((1+Inputs!$C$179)^Inputs!$C$16-1),""),"")</f>
        <v>#DIV/0!</v>
      </c>
      <c r="J114" s="1" t="e">
        <f>IF(J110&lt;=Inputs!$C$16,IF($B114="Yes",((Calculations!K27*Inputs!$C$179*(1+Inputs!$C$179)^Inputs!$C$16))/((1+Inputs!$C$179)^Inputs!$C$16-1),""),"")</f>
        <v>#DIV/0!</v>
      </c>
      <c r="K114" s="1" t="e">
        <f>IF(K110&lt;=Inputs!$C$16,IF($B114="Yes",((Calculations!L27*Inputs!$C$179*(1+Inputs!$C$179)^Inputs!$C$16))/((1+Inputs!$C$179)^Inputs!$C$16-1),""),"")</f>
        <v>#DIV/0!</v>
      </c>
      <c r="L114" s="1" t="e">
        <f>IF(L110&lt;=Inputs!$C$16,IF($B114="Yes",((Calculations!M27*Inputs!$C$179*(1+Inputs!$C$179)^Inputs!$C$16))/((1+Inputs!$C$179)^Inputs!$C$16-1),""),"")</f>
        <v>#DIV/0!</v>
      </c>
      <c r="M114" s="1" t="e">
        <f>IF(M110&lt;=Inputs!$C$16,IF($B114="Yes",((Calculations!N27*Inputs!$C$179*(1+Inputs!$C$179)^Inputs!$C$16))/((1+Inputs!$C$179)^Inputs!$C$16-1),""),"")</f>
        <v>#DIV/0!</v>
      </c>
      <c r="N114" s="1" t="e">
        <f>IF(N110&lt;=Inputs!$C$16,IF($B114="Yes",((Calculations!O27*Inputs!$C$179*(1+Inputs!$C$179)^Inputs!$C$16))/((1+Inputs!$C$179)^Inputs!$C$16-1),""),"")</f>
        <v>#DIV/0!</v>
      </c>
      <c r="O114" s="1" t="e">
        <f>IF(O110&lt;=Inputs!$C$16,IF($B114="Yes",((Calculations!P27*Inputs!$C$179*(1+Inputs!$C$179)^Inputs!$C$16))/((1+Inputs!$C$179)^Inputs!$C$16-1),""),"")</f>
        <v>#DIV/0!</v>
      </c>
      <c r="P114" s="1" t="e">
        <f>IF(P110&lt;=Inputs!$C$16,IF($B114="Yes",((Calculations!Q27*Inputs!$C$179*(1+Inputs!$C$179)^Inputs!$C$16))/((1+Inputs!$C$179)^Inputs!$C$16-1),""),"")</f>
        <v>#DIV/0!</v>
      </c>
      <c r="Q114" s="1" t="e">
        <f>IF(Q110&lt;=Inputs!$C$16,IF($B114="Yes",((Calculations!R27*Inputs!$C$179*(1+Inputs!$C$179)^Inputs!$C$16))/((1+Inputs!$C$179)^Inputs!$C$16-1),""),"")</f>
        <v>#DIV/0!</v>
      </c>
      <c r="R114" s="1" t="e">
        <f>IF(R110&lt;=Inputs!$C$16,IF($B114="Yes",((Calculations!S27*Inputs!$C$179*(1+Inputs!$C$179)^Inputs!$C$16))/((1+Inputs!$C$179)^Inputs!$C$16-1),""),"")</f>
        <v>#DIV/0!</v>
      </c>
      <c r="S114" s="1" t="e">
        <f>IF(S110&lt;=Inputs!$C$16,IF($B114="Yes",((Calculations!T27*Inputs!$C$179*(1+Inputs!$C$179)^Inputs!$C$16))/((1+Inputs!$C$179)^Inputs!$C$16-1),""),"")</f>
        <v>#DIV/0!</v>
      </c>
      <c r="T114" s="1" t="e">
        <f>IF(T110&lt;=Inputs!$C$16,IF($B114="Yes",((Calculations!U27*Inputs!$C$179*(1+Inputs!$C$179)^Inputs!$C$16))/((1+Inputs!$C$179)^Inputs!$C$16-1),""),"")</f>
        <v>#DIV/0!</v>
      </c>
      <c r="U114" s="1" t="e">
        <f>IF(U110&lt;=Inputs!$C$16,IF($B114="Yes",((Calculations!V27*Inputs!$C$179*(1+Inputs!$C$179)^Inputs!$C$16))/((1+Inputs!$C$179)^Inputs!$C$16-1),""),"")</f>
        <v>#DIV/0!</v>
      </c>
      <c r="V114" s="1" t="e">
        <f>IF(V110&lt;=Inputs!$C$16,IF($B114="Yes",((Calculations!W27*Inputs!$C$179*(1+Inputs!$C$179)^Inputs!$C$16))/((1+Inputs!$C$179)^Inputs!$C$16-1),""),"")</f>
        <v>#DIV/0!</v>
      </c>
      <c r="W114" s="1" t="e">
        <f>IF(W110&lt;=Inputs!$C$16,IF($B114="Yes",((Calculations!X27*Inputs!$C$179*(1+Inputs!$C$179)^Inputs!$C$16))/((1+Inputs!$C$179)^Inputs!$C$16-1),""),"")</f>
        <v>#DIV/0!</v>
      </c>
      <c r="X114" s="1" t="e">
        <f>IF(X110&lt;=Inputs!$C$16,IF($B114="Yes",((Calculations!Y27*Inputs!$C$179*(1+Inputs!$C$179)^Inputs!$C$16))/((1+Inputs!$C$179)^Inputs!$C$16-1),""),"")</f>
        <v>#DIV/0!</v>
      </c>
      <c r="Y114" s="1" t="e">
        <f>IF(Y110&lt;=Inputs!$C$16,IF($B114="Yes",((Calculations!Z27*Inputs!$C$179*(1+Inputs!$C$179)^Inputs!$C$16))/((1+Inputs!$C$179)^Inputs!$C$16-1),""),"")</f>
        <v>#DIV/0!</v>
      </c>
      <c r="Z114" s="1" t="e">
        <f>IF(Z110&lt;=Inputs!$C$16,IF($B114="Yes",((Calculations!AA27*Inputs!$C$179*(1+Inputs!$C$179)^Inputs!$C$16))/((1+Inputs!$C$179)^Inputs!$C$16-1),""),"")</f>
        <v>#DIV/0!</v>
      </c>
      <c r="AA114" s="1" t="e">
        <f>IF(AA110&lt;=Inputs!$C$16,IF($B114="Yes",((Calculations!AB27*Inputs!$C$179*(1+Inputs!$C$179)^Inputs!$C$16))/((1+Inputs!$C$179)^Inputs!$C$16-1),""),"")</f>
        <v>#DIV/0!</v>
      </c>
      <c r="AB114" s="296" t="e">
        <f t="shared" si="50"/>
        <v>#DIV/0!</v>
      </c>
    </row>
    <row r="116" spans="1:28" x14ac:dyDescent="0.3">
      <c r="A116" s="158" t="s">
        <v>411</v>
      </c>
    </row>
    <row r="135" spans="1:45" x14ac:dyDescent="0.3">
      <c r="A135" s="403" t="s">
        <v>322</v>
      </c>
      <c r="D135" s="502"/>
      <c r="E135" s="503"/>
      <c r="F135" s="504"/>
      <c r="G135" s="504"/>
    </row>
    <row r="136" spans="1:45" s="53" customFormat="1" x14ac:dyDescent="0.3">
      <c r="A136" s="52"/>
      <c r="B136" s="501" t="s">
        <v>47</v>
      </c>
      <c r="C136" s="52" t="s">
        <v>186</v>
      </c>
      <c r="D136" s="505"/>
      <c r="E136" s="505"/>
      <c r="F136" s="506"/>
      <c r="G136" s="506"/>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row>
    <row r="137" spans="1:45" x14ac:dyDescent="0.3">
      <c r="A137" s="407" t="s">
        <v>1</v>
      </c>
      <c r="B137" s="408" t="s">
        <v>358</v>
      </c>
      <c r="C137" s="238" t="e">
        <f>Calculations!C163</f>
        <v>#DIV/0!</v>
      </c>
      <c r="D137"/>
      <c r="E137"/>
      <c r="F137"/>
      <c r="G137"/>
    </row>
    <row r="138" spans="1:45" x14ac:dyDescent="0.3">
      <c r="A138" s="407" t="s">
        <v>500</v>
      </c>
      <c r="B138" s="408" t="s">
        <v>358</v>
      </c>
      <c r="C138" s="238" t="e">
        <f>SUM(Inputs!C40+Inputs!C59+Inputs!C77+Inputs!C95+Inputs!C113)/Inputs!B205</f>
        <v>#DIV/0!</v>
      </c>
      <c r="D138" s="507"/>
      <c r="E138" s="507"/>
      <c r="F138" s="507"/>
      <c r="G138" s="508"/>
    </row>
    <row r="139" spans="1:45" x14ac:dyDescent="0.3">
      <c r="A139" s="407" t="s">
        <v>148</v>
      </c>
      <c r="B139" s="408" t="s">
        <v>453</v>
      </c>
      <c r="C139" s="238">
        <f>Calculations!C165</f>
        <v>0</v>
      </c>
      <c r="D139" s="508"/>
      <c r="E139" s="508"/>
      <c r="F139" s="508"/>
      <c r="G139" s="508"/>
    </row>
    <row r="140" spans="1:45" x14ac:dyDescent="0.3">
      <c r="A140" s="407" t="s">
        <v>280</v>
      </c>
      <c r="B140" s="404" t="s">
        <v>309</v>
      </c>
      <c r="C140" s="238" t="e">
        <f>IF(Inputs!B5="kWp",Inputs!C126/Inputs!C5,Inputs!C126/(Inputs!C5*1000))</f>
        <v>#DIV/0!</v>
      </c>
      <c r="D140" s="507"/>
      <c r="E140" s="507"/>
      <c r="F140" s="507"/>
      <c r="G140" s="507"/>
    </row>
    <row r="141" spans="1:45" x14ac:dyDescent="0.3">
      <c r="A141" s="407" t="s">
        <v>281</v>
      </c>
      <c r="B141" s="404" t="s">
        <v>309</v>
      </c>
      <c r="C141" s="238" t="e">
        <f>C140-C142-C143</f>
        <v>#DIV/0!</v>
      </c>
      <c r="D141" s="61"/>
      <c r="E141" s="61"/>
      <c r="F141" s="61"/>
      <c r="G141" s="61"/>
    </row>
    <row r="142" spans="1:45" x14ac:dyDescent="0.3">
      <c r="A142" s="407" t="s">
        <v>282</v>
      </c>
      <c r="B142" s="404" t="s">
        <v>309</v>
      </c>
      <c r="C142" s="238" t="e">
        <f>IF(Inputs!B5="kWp",SUM(Inputs!C38+Inputs!C39+Inputs!C57+Inputs!C58+Inputs!C75+Inputs!C76+Inputs!C93+Inputs!C94+Inputs!C111+Inputs!C112)/Inputs!C5,SUM(Inputs!C38+Inputs!C39+Inputs!C57+Inputs!C58+Inputs!C75+Inputs!C76+Inputs!C93+Inputs!C94+Inputs!C111+Inputs!C112)/Inputs!C5*1000)</f>
        <v>#DIV/0!</v>
      </c>
      <c r="D142" s="61"/>
      <c r="E142" s="61"/>
      <c r="F142" s="61"/>
      <c r="G142" s="61"/>
    </row>
    <row r="143" spans="1:45" x14ac:dyDescent="0.3">
      <c r="A143" s="407" t="s">
        <v>283</v>
      </c>
      <c r="B143" s="404" t="s">
        <v>309</v>
      </c>
      <c r="C143" s="238" t="e">
        <f>IF(Inputs!B5="kWp",(Inputs!C40+Inputs!C59+Inputs!C77+Inputs!C95+Inputs!C113)/Inputs!C5,(Inputs!C40+Inputs!C59+Inputs!C77+Inputs!C95+Inputs!C113)/Inputs!C5*1000)</f>
        <v>#DIV/0!</v>
      </c>
      <c r="D143" s="508"/>
      <c r="E143" s="508"/>
      <c r="F143" s="508"/>
      <c r="G143" s="508"/>
    </row>
    <row r="144" spans="1:45" x14ac:dyDescent="0.3">
      <c r="A144" s="407" t="s">
        <v>3</v>
      </c>
      <c r="B144" s="404" t="s">
        <v>309</v>
      </c>
      <c r="C144" s="238" t="e">
        <f>IF(Inputs!B5="kWp",SUM(Inputs!C138:C141)/Inputs!C5,SUM(Inputs!C138:C141)/(Inputs!C5*1000))</f>
        <v>#DIV/0!</v>
      </c>
      <c r="D144" s="61"/>
      <c r="E144" s="61"/>
      <c r="F144" s="61"/>
      <c r="G144" s="61"/>
    </row>
    <row r="145" spans="1:11" x14ac:dyDescent="0.3">
      <c r="A145" s="407" t="s">
        <v>4</v>
      </c>
      <c r="B145" s="404" t="s">
        <v>83</v>
      </c>
      <c r="C145" s="514" t="e">
        <f>(Inputs!C145-Inputs!C142-Inputs!C143)/Inputs!C126</f>
        <v>#DIV/0!</v>
      </c>
      <c r="D145" s="509"/>
      <c r="E145" s="509"/>
      <c r="F145" s="509"/>
      <c r="G145" s="509"/>
    </row>
    <row r="146" spans="1:11" x14ac:dyDescent="0.3">
      <c r="A146" s="407" t="s">
        <v>374</v>
      </c>
      <c r="B146" s="404" t="s">
        <v>83</v>
      </c>
      <c r="C146" s="514" t="e">
        <f>SUM(Calculations!D22:AB22)/(SUM(Calculations!D22:AB22)+Inputs!AG126)</f>
        <v>#DIV/0!</v>
      </c>
      <c r="D146" s="510"/>
      <c r="E146" s="509"/>
      <c r="F146" s="509"/>
      <c r="G146" s="510"/>
    </row>
    <row r="147" spans="1:11" x14ac:dyDescent="0.3">
      <c r="A147" s="407" t="s">
        <v>310</v>
      </c>
      <c r="B147" s="404" t="s">
        <v>86</v>
      </c>
      <c r="C147" s="515" t="e">
        <f>Inputs!D205/Inputs!B205/12</f>
        <v>#DIV/0!</v>
      </c>
      <c r="D147" s="511"/>
      <c r="E147" s="511"/>
      <c r="F147" s="511"/>
      <c r="G147" s="511"/>
    </row>
    <row r="148" spans="1:11" x14ac:dyDescent="0.3">
      <c r="A148" s="407" t="str">
        <f>Inputs!A247</f>
        <v>Average Revenue Per User (ARPU)-monthly</v>
      </c>
      <c r="B148" s="404" t="str">
        <f>Inputs!B24</f>
        <v>NGN</v>
      </c>
      <c r="C148" s="238" t="e">
        <f>Calculations!D37/Inputs!B205</f>
        <v>#DIV/0!</v>
      </c>
      <c r="D148" s="512"/>
      <c r="E148" s="513"/>
      <c r="F148" s="513"/>
      <c r="G148" s="512"/>
    </row>
    <row r="149" spans="1:11" x14ac:dyDescent="0.3">
      <c r="A149" s="407" t="str">
        <f>Inputs!A249</f>
        <v>Opex per customer per month</v>
      </c>
      <c r="B149" s="404" t="str">
        <f>Inputs!B24</f>
        <v>NGN</v>
      </c>
      <c r="C149" s="516" t="e">
        <f>Calculations!D22/12/Inputs!B205</f>
        <v>#DIV/0!</v>
      </c>
      <c r="D149" s="512"/>
      <c r="E149" s="513"/>
      <c r="F149" s="513"/>
      <c r="G149" s="512"/>
    </row>
    <row r="150" spans="1:11" x14ac:dyDescent="0.3">
      <c r="A150" s="407" t="str">
        <f>Inputs!A252</f>
        <v>LCOE for solar hybrid mini-grids operating in isolated areas and serving productive-use (commercial and industrial) customers</v>
      </c>
      <c r="B150" s="404" t="s">
        <v>309</v>
      </c>
      <c r="C150" s="516" t="e">
        <f>Calculations!D100</f>
        <v>#DIV/0!</v>
      </c>
      <c r="D150" s="512"/>
      <c r="E150" s="513"/>
      <c r="F150" s="513"/>
      <c r="G150" s="512"/>
    </row>
    <row r="151" spans="1:11" x14ac:dyDescent="0.3">
      <c r="A151" s="407" t="s">
        <v>33</v>
      </c>
      <c r="B151" s="404" t="s">
        <v>309</v>
      </c>
      <c r="C151" s="516" t="e">
        <f>Calculations!D100</f>
        <v>#DIV/0!</v>
      </c>
      <c r="D151" s="512"/>
      <c r="E151" s="512"/>
      <c r="F151" s="513"/>
      <c r="G151" s="512"/>
    </row>
    <row r="152" spans="1:11" x14ac:dyDescent="0.3">
      <c r="A152" s="407" t="s">
        <v>372</v>
      </c>
      <c r="B152" s="404" t="s">
        <v>83</v>
      </c>
      <c r="C152" s="514" t="e">
        <f>(Inputs!D205-Calculations!D11)/Inputs!C12</f>
        <v>#DIV/0!</v>
      </c>
      <c r="D152" s="510"/>
      <c r="E152" s="509"/>
      <c r="F152" s="509"/>
      <c r="G152" s="510"/>
    </row>
    <row r="153" spans="1:11" x14ac:dyDescent="0.3">
      <c r="A153" s="407" t="str">
        <f>Inputs!A244</f>
        <v>Capex as a percent of the cost of electricity for well-run off-grid solar hybrid combining PV, battery storage and a backup diesel generator.</v>
      </c>
      <c r="B153" s="404" t="s">
        <v>83</v>
      </c>
      <c r="C153" s="514" t="e">
        <f>Inputs!AG126/SUM(Calculations!D37:AB37)</f>
        <v>#DIV/0!</v>
      </c>
      <c r="D153" s="510"/>
      <c r="E153" s="509"/>
      <c r="F153" s="509"/>
      <c r="G153" s="510"/>
    </row>
    <row r="155" spans="1:11" x14ac:dyDescent="0.3">
      <c r="A155" s="158" t="s">
        <v>323</v>
      </c>
    </row>
    <row r="156" spans="1:11" s="127" customFormat="1" x14ac:dyDescent="0.3">
      <c r="A156" s="177" t="s">
        <v>418</v>
      </c>
      <c r="B156" s="177"/>
      <c r="C156" s="177"/>
      <c r="D156" s="177"/>
      <c r="E156" s="177"/>
      <c r="F156" s="177"/>
      <c r="G156" s="177"/>
      <c r="I156" s="178" t="s">
        <v>383</v>
      </c>
    </row>
    <row r="157" spans="1:11" ht="18" x14ac:dyDescent="0.35">
      <c r="A157" s="93" t="str">
        <f>A6</f>
        <v>kWh/PAYG/Energy-based tariff</v>
      </c>
      <c r="B157" s="159"/>
      <c r="I157" s="45" t="s">
        <v>384</v>
      </c>
      <c r="J157" s="179"/>
    </row>
    <row r="158" spans="1:11" s="163" customFormat="1" x14ac:dyDescent="0.3">
      <c r="A158" s="596"/>
      <c r="B158" s="160"/>
      <c r="C158" s="161"/>
      <c r="D158" s="161"/>
      <c r="E158" s="161"/>
      <c r="F158" s="161"/>
      <c r="G158" s="162"/>
      <c r="I158" s="45" t="s">
        <v>385</v>
      </c>
      <c r="J158" s="45"/>
      <c r="K158" s="45"/>
    </row>
    <row r="159" spans="1:11" s="163" customFormat="1" x14ac:dyDescent="0.3">
      <c r="A159" s="597"/>
      <c r="B159" s="164"/>
      <c r="C159" s="165"/>
      <c r="D159" s="165"/>
      <c r="E159" s="165"/>
      <c r="F159" s="165"/>
      <c r="G159" s="166"/>
      <c r="I159" s="45" t="s">
        <v>386</v>
      </c>
      <c r="J159" s="178"/>
      <c r="K159" s="45"/>
    </row>
    <row r="160" spans="1:11" s="163" customFormat="1" x14ac:dyDescent="0.3">
      <c r="A160" s="596"/>
      <c r="B160" s="160"/>
      <c r="C160" s="161"/>
      <c r="D160" s="161"/>
      <c r="E160" s="161"/>
      <c r="F160" s="161"/>
      <c r="G160" s="162"/>
      <c r="I160" s="45" t="s">
        <v>464</v>
      </c>
      <c r="J160" s="45"/>
      <c r="K160" s="45"/>
    </row>
    <row r="161" spans="1:305" s="163" customFormat="1" x14ac:dyDescent="0.3">
      <c r="A161" s="597"/>
      <c r="B161" s="164"/>
      <c r="C161" s="165"/>
      <c r="D161" s="165"/>
      <c r="E161" s="165"/>
      <c r="F161" s="165"/>
      <c r="G161" s="166"/>
      <c r="I161" s="45" t="s">
        <v>387</v>
      </c>
      <c r="J161" s="45"/>
      <c r="K161" s="45"/>
    </row>
    <row r="162" spans="1:305" s="163" customFormat="1" x14ac:dyDescent="0.3">
      <c r="A162" s="596"/>
      <c r="B162" s="160"/>
      <c r="C162" s="161"/>
      <c r="D162" s="161"/>
      <c r="E162" s="161"/>
      <c r="F162" s="161"/>
      <c r="G162" s="162"/>
      <c r="I162" s="45"/>
      <c r="J162" s="45"/>
      <c r="K162" s="45"/>
    </row>
    <row r="163" spans="1:305" s="163" customFormat="1" x14ac:dyDescent="0.3">
      <c r="A163" s="597"/>
      <c r="B163" s="164"/>
      <c r="C163" s="165"/>
      <c r="D163" s="165"/>
      <c r="E163" s="165"/>
      <c r="F163" s="165"/>
      <c r="G163" s="166"/>
      <c r="I163" s="45"/>
      <c r="J163" s="45"/>
      <c r="K163" s="45"/>
    </row>
    <row r="164" spans="1:305" s="163" customFormat="1" x14ac:dyDescent="0.3">
      <c r="A164" s="596"/>
      <c r="B164" s="160"/>
      <c r="C164" s="161"/>
      <c r="D164" s="161"/>
      <c r="E164" s="161"/>
      <c r="F164" s="161"/>
      <c r="G164" s="162"/>
      <c r="I164" s="45"/>
      <c r="J164" s="45"/>
      <c r="K164" s="45"/>
    </row>
    <row r="165" spans="1:305" s="163" customFormat="1" x14ac:dyDescent="0.3">
      <c r="A165" s="597"/>
      <c r="B165" s="164"/>
      <c r="C165" s="165"/>
      <c r="D165" s="165"/>
      <c r="E165" s="165"/>
      <c r="F165" s="165"/>
      <c r="G165" s="166"/>
      <c r="I165" s="45"/>
      <c r="J165" s="45"/>
      <c r="K165" s="45"/>
    </row>
    <row r="166" spans="1:305" s="163" customFormat="1" x14ac:dyDescent="0.3">
      <c r="A166" s="596"/>
      <c r="B166" s="160"/>
      <c r="C166" s="161"/>
      <c r="D166" s="161"/>
      <c r="E166" s="161"/>
      <c r="F166" s="161"/>
      <c r="G166" s="162"/>
    </row>
    <row r="167" spans="1:305" s="163" customFormat="1" x14ac:dyDescent="0.3">
      <c r="A167" s="597"/>
      <c r="B167" s="164"/>
      <c r="C167" s="165"/>
      <c r="D167" s="165"/>
      <c r="E167" s="165"/>
      <c r="F167" s="165"/>
      <c r="G167" s="166"/>
    </row>
    <row r="168" spans="1:305" s="163" customFormat="1" x14ac:dyDescent="0.3">
      <c r="A168" s="596"/>
      <c r="B168" s="160"/>
      <c r="C168" s="161"/>
      <c r="D168" s="161"/>
      <c r="E168" s="161"/>
      <c r="F168" s="161"/>
      <c r="G168" s="162"/>
    </row>
    <row r="169" spans="1:305" s="163" customFormat="1" x14ac:dyDescent="0.3">
      <c r="A169" s="597"/>
      <c r="B169" s="164"/>
      <c r="C169" s="165"/>
      <c r="D169" s="165"/>
      <c r="E169" s="165"/>
      <c r="F169" s="165"/>
      <c r="G169" s="166"/>
    </row>
    <row r="170" spans="1:305" s="169" customFormat="1" ht="13.2" customHeight="1" x14ac:dyDescent="0.3">
      <c r="A170" s="596"/>
      <c r="B170" s="160"/>
      <c r="C170" s="167"/>
      <c r="D170" s="167"/>
      <c r="E170" s="167"/>
      <c r="F170" s="167"/>
      <c r="G170" s="168"/>
      <c r="J170" s="163"/>
      <c r="K170" s="170"/>
      <c r="L170" s="170"/>
      <c r="M170" s="170"/>
      <c r="N170" s="170"/>
      <c r="Q170" s="171"/>
      <c r="R170" s="171"/>
      <c r="S170" s="171"/>
      <c r="T170" s="171"/>
      <c r="U170" s="171"/>
      <c r="V170" s="171"/>
      <c r="W170" s="171"/>
      <c r="X170" s="171"/>
      <c r="Y170" s="171"/>
      <c r="Z170" s="171"/>
      <c r="AA170" s="171"/>
      <c r="AB170" s="171"/>
      <c r="AC170" s="171"/>
      <c r="AD170" s="171"/>
      <c r="AE170" s="171"/>
      <c r="AF170" s="171"/>
      <c r="AG170" s="171"/>
      <c r="AH170" s="171"/>
      <c r="AI170" s="171"/>
      <c r="AJ170" s="171"/>
      <c r="AK170" s="171"/>
      <c r="AL170" s="171"/>
      <c r="AM170" s="171"/>
      <c r="AN170" s="171"/>
      <c r="AO170" s="171"/>
      <c r="AP170" s="171"/>
      <c r="AQ170" s="171"/>
      <c r="AR170" s="171"/>
      <c r="AS170" s="171"/>
      <c r="AT170" s="171"/>
      <c r="AU170" s="171"/>
      <c r="AV170" s="171"/>
      <c r="AW170" s="171"/>
      <c r="AX170" s="171"/>
      <c r="AY170" s="171"/>
      <c r="AZ170" s="171"/>
      <c r="BA170" s="171"/>
      <c r="BB170" s="171"/>
      <c r="BC170" s="171"/>
      <c r="BD170" s="171"/>
      <c r="BE170" s="171"/>
      <c r="BF170" s="171"/>
      <c r="BG170" s="171"/>
      <c r="BH170" s="171"/>
      <c r="BI170" s="171"/>
      <c r="BJ170" s="171"/>
      <c r="BK170" s="171"/>
      <c r="BL170" s="171"/>
      <c r="BM170" s="171"/>
      <c r="BN170" s="171"/>
      <c r="BO170" s="171"/>
      <c r="BP170" s="171"/>
      <c r="BQ170" s="171"/>
      <c r="BR170" s="171"/>
      <c r="BS170" s="171"/>
      <c r="BT170" s="171"/>
      <c r="BU170" s="171"/>
      <c r="BV170" s="171"/>
      <c r="BW170" s="171"/>
      <c r="BX170" s="171"/>
      <c r="BY170" s="171"/>
      <c r="BZ170" s="171"/>
      <c r="CA170" s="171"/>
      <c r="CB170" s="171"/>
      <c r="CC170" s="171"/>
      <c r="CD170" s="171"/>
      <c r="CE170" s="171"/>
      <c r="CF170" s="171"/>
      <c r="CG170" s="171"/>
      <c r="CH170" s="171"/>
      <c r="CI170" s="171"/>
      <c r="CJ170" s="171"/>
      <c r="CK170" s="171"/>
      <c r="CL170" s="171"/>
      <c r="CM170" s="171"/>
      <c r="CN170" s="171"/>
      <c r="CO170" s="171"/>
      <c r="CP170" s="171"/>
      <c r="CQ170" s="171"/>
      <c r="CR170" s="171"/>
      <c r="CS170" s="171"/>
      <c r="CT170" s="171"/>
      <c r="CU170" s="171"/>
      <c r="CV170" s="171"/>
      <c r="CW170" s="171"/>
      <c r="CX170" s="171"/>
      <c r="CY170" s="171"/>
      <c r="CZ170" s="171"/>
      <c r="DA170" s="171"/>
      <c r="DB170" s="171"/>
      <c r="DC170" s="171"/>
      <c r="DD170" s="171"/>
      <c r="DE170" s="171"/>
      <c r="DF170" s="171"/>
      <c r="DG170" s="171"/>
      <c r="DH170" s="171"/>
      <c r="DI170" s="171"/>
      <c r="DJ170" s="171"/>
      <c r="DK170" s="171"/>
      <c r="DL170" s="171"/>
      <c r="DM170" s="171"/>
      <c r="DN170" s="171"/>
      <c r="DO170" s="171"/>
      <c r="DP170" s="171"/>
      <c r="DQ170" s="171"/>
      <c r="DR170" s="171"/>
      <c r="DS170" s="171"/>
      <c r="DT170" s="171"/>
      <c r="DU170" s="171"/>
      <c r="DV170" s="171"/>
      <c r="DW170" s="171"/>
      <c r="DX170" s="171"/>
      <c r="DY170" s="171"/>
      <c r="DZ170" s="171"/>
      <c r="EA170" s="171"/>
      <c r="EB170" s="171"/>
      <c r="EC170" s="171"/>
      <c r="ED170" s="171"/>
      <c r="EE170" s="171"/>
      <c r="EF170" s="171"/>
      <c r="EG170" s="171"/>
      <c r="EH170" s="171"/>
      <c r="EI170" s="171"/>
      <c r="EJ170" s="171"/>
      <c r="EK170" s="171"/>
      <c r="EL170" s="171"/>
      <c r="EM170" s="171"/>
      <c r="EN170" s="171"/>
      <c r="EO170" s="171"/>
      <c r="EP170" s="171"/>
      <c r="EQ170" s="171"/>
      <c r="ER170" s="171"/>
      <c r="ES170" s="171"/>
      <c r="ET170" s="171"/>
      <c r="EU170" s="171"/>
      <c r="EV170" s="171"/>
      <c r="EW170" s="171"/>
      <c r="EX170" s="171"/>
      <c r="EY170" s="171"/>
      <c r="EZ170" s="171"/>
      <c r="FA170" s="171"/>
      <c r="FB170" s="171"/>
      <c r="FC170" s="171"/>
      <c r="FD170" s="171"/>
      <c r="FE170" s="171"/>
      <c r="FF170" s="171"/>
      <c r="FG170" s="171"/>
      <c r="FH170" s="171"/>
      <c r="FI170" s="171"/>
      <c r="FJ170" s="171"/>
      <c r="FK170" s="171"/>
      <c r="FL170" s="171"/>
      <c r="FM170" s="171"/>
      <c r="FN170" s="171"/>
      <c r="FO170" s="171"/>
      <c r="FP170" s="171"/>
      <c r="FQ170" s="171"/>
      <c r="FR170" s="171"/>
      <c r="FS170" s="171"/>
      <c r="FT170" s="171"/>
      <c r="FU170" s="171"/>
      <c r="FV170" s="171"/>
      <c r="FW170" s="171"/>
      <c r="FX170" s="171"/>
      <c r="FY170" s="171"/>
      <c r="FZ170" s="171"/>
      <c r="GA170" s="171"/>
      <c r="GB170" s="171"/>
      <c r="GC170" s="171"/>
      <c r="GD170" s="171"/>
      <c r="GE170" s="171"/>
      <c r="GF170" s="171"/>
      <c r="GG170" s="171"/>
      <c r="GH170" s="171"/>
      <c r="GI170" s="171"/>
      <c r="GJ170" s="171"/>
      <c r="GK170" s="171"/>
      <c r="GL170" s="171"/>
      <c r="GM170" s="171"/>
      <c r="GN170" s="171"/>
      <c r="GO170" s="171"/>
      <c r="GP170" s="171"/>
      <c r="GQ170" s="171"/>
      <c r="GR170" s="171"/>
      <c r="GS170" s="171"/>
      <c r="GT170" s="171"/>
      <c r="GU170" s="171"/>
      <c r="GV170" s="171"/>
      <c r="GW170" s="171"/>
      <c r="GX170" s="171"/>
      <c r="GY170" s="171"/>
      <c r="GZ170" s="171"/>
      <c r="HA170" s="171"/>
      <c r="HB170" s="171"/>
      <c r="HC170" s="171"/>
      <c r="HD170" s="171"/>
      <c r="HE170" s="171"/>
      <c r="HF170" s="171"/>
      <c r="HG170" s="171"/>
      <c r="HH170" s="171"/>
      <c r="HI170" s="171"/>
      <c r="HJ170" s="171"/>
      <c r="HK170" s="171"/>
      <c r="HL170" s="171"/>
      <c r="HM170" s="171"/>
      <c r="HN170" s="171"/>
      <c r="HO170" s="171"/>
      <c r="HP170" s="171"/>
      <c r="HQ170" s="171"/>
      <c r="HR170" s="171"/>
      <c r="HS170" s="171"/>
      <c r="HT170" s="171"/>
      <c r="HU170" s="171"/>
      <c r="HV170" s="171"/>
      <c r="HW170" s="171"/>
      <c r="HX170" s="171"/>
      <c r="HY170" s="171"/>
      <c r="HZ170" s="171"/>
      <c r="IA170" s="171"/>
      <c r="IB170" s="171"/>
      <c r="IC170" s="171"/>
      <c r="ID170" s="171"/>
      <c r="IE170" s="171"/>
      <c r="IF170" s="171"/>
      <c r="IG170" s="171"/>
      <c r="IH170" s="171"/>
      <c r="II170" s="171"/>
      <c r="IJ170" s="171"/>
      <c r="IK170" s="171"/>
      <c r="IL170" s="171"/>
      <c r="IM170" s="171"/>
      <c r="IN170" s="171"/>
      <c r="IO170" s="171"/>
      <c r="IP170" s="171"/>
      <c r="IQ170" s="171"/>
      <c r="IR170" s="171"/>
      <c r="IS170" s="171"/>
      <c r="IT170" s="171"/>
      <c r="IU170" s="171"/>
      <c r="IV170" s="171"/>
      <c r="IW170" s="171"/>
      <c r="IX170" s="171"/>
      <c r="IY170" s="171"/>
      <c r="IZ170" s="171"/>
      <c r="JA170" s="171"/>
      <c r="JB170" s="171"/>
      <c r="JC170" s="171"/>
      <c r="JD170" s="171"/>
      <c r="JE170" s="171"/>
      <c r="JF170" s="171"/>
      <c r="JG170" s="171"/>
      <c r="JH170" s="171"/>
      <c r="JI170" s="171"/>
      <c r="JJ170" s="171"/>
      <c r="JK170" s="171"/>
      <c r="JL170" s="171"/>
      <c r="JM170" s="171"/>
      <c r="JN170" s="171"/>
      <c r="JO170" s="171"/>
      <c r="JP170" s="171"/>
      <c r="JQ170" s="171"/>
      <c r="JR170" s="171"/>
      <c r="JS170" s="171"/>
      <c r="JT170" s="171"/>
      <c r="JU170" s="171"/>
      <c r="JV170" s="171"/>
      <c r="JW170" s="171"/>
      <c r="JX170" s="171"/>
      <c r="JY170" s="171"/>
      <c r="JZ170" s="171"/>
      <c r="KA170" s="171"/>
      <c r="KB170" s="171"/>
      <c r="KC170" s="171"/>
      <c r="KD170" s="171"/>
      <c r="KE170" s="171"/>
      <c r="KF170" s="171"/>
      <c r="KG170" s="171"/>
      <c r="KH170" s="171"/>
      <c r="KI170" s="171"/>
      <c r="KJ170" s="171"/>
      <c r="KK170" s="171"/>
      <c r="KL170" s="171"/>
      <c r="KM170" s="171"/>
      <c r="KN170" s="171"/>
      <c r="KO170" s="171"/>
      <c r="KP170" s="171"/>
      <c r="KQ170" s="171"/>
      <c r="KR170" s="171"/>
      <c r="KS170" s="171"/>
    </row>
    <row r="171" spans="1:305" s="169" customFormat="1" ht="13.2" customHeight="1" x14ac:dyDescent="0.3">
      <c r="A171" s="597"/>
      <c r="B171" s="164"/>
      <c r="C171" s="172"/>
      <c r="D171" s="172"/>
      <c r="E171" s="172"/>
      <c r="F171" s="172"/>
      <c r="G171" s="173"/>
      <c r="J171" s="163"/>
      <c r="K171" s="170"/>
      <c r="L171" s="170"/>
      <c r="M171" s="170"/>
      <c r="N171" s="170"/>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c r="CW171" s="171"/>
      <c r="CX171" s="171"/>
      <c r="CY171" s="171"/>
      <c r="CZ171" s="171"/>
      <c r="DA171" s="171"/>
      <c r="DB171" s="171"/>
      <c r="DC171" s="171"/>
      <c r="DD171" s="171"/>
      <c r="DE171" s="171"/>
      <c r="DF171" s="171"/>
      <c r="DG171" s="171"/>
      <c r="DH171" s="171"/>
      <c r="DI171" s="171"/>
      <c r="DJ171" s="171"/>
      <c r="DK171" s="171"/>
      <c r="DL171" s="171"/>
      <c r="DM171" s="171"/>
      <c r="DN171" s="171"/>
      <c r="DO171" s="171"/>
      <c r="DP171" s="171"/>
      <c r="DQ171" s="171"/>
      <c r="DR171" s="171"/>
      <c r="DS171" s="171"/>
      <c r="DT171" s="171"/>
      <c r="DU171" s="171"/>
      <c r="DV171" s="171"/>
      <c r="DW171" s="171"/>
      <c r="DX171" s="171"/>
      <c r="DY171" s="171"/>
      <c r="DZ171" s="171"/>
      <c r="EA171" s="171"/>
      <c r="EB171" s="171"/>
      <c r="EC171" s="171"/>
      <c r="ED171" s="171"/>
      <c r="EE171" s="171"/>
      <c r="EF171" s="171"/>
      <c r="EG171" s="171"/>
      <c r="EH171" s="171"/>
      <c r="EI171" s="171"/>
      <c r="EJ171" s="171"/>
      <c r="EK171" s="171"/>
      <c r="EL171" s="171"/>
      <c r="EM171" s="171"/>
      <c r="EN171" s="171"/>
      <c r="EO171" s="171"/>
      <c r="EP171" s="171"/>
      <c r="EQ171" s="171"/>
      <c r="ER171" s="171"/>
      <c r="ES171" s="171"/>
      <c r="ET171" s="171"/>
      <c r="EU171" s="171"/>
      <c r="EV171" s="171"/>
      <c r="EW171" s="171"/>
      <c r="EX171" s="171"/>
      <c r="EY171" s="171"/>
      <c r="EZ171" s="171"/>
      <c r="FA171" s="171"/>
      <c r="FB171" s="171"/>
      <c r="FC171" s="171"/>
      <c r="FD171" s="171"/>
      <c r="FE171" s="171"/>
      <c r="FF171" s="171"/>
      <c r="FG171" s="171"/>
      <c r="FH171" s="171"/>
      <c r="FI171" s="171"/>
      <c r="FJ171" s="171"/>
      <c r="FK171" s="171"/>
      <c r="FL171" s="171"/>
      <c r="FM171" s="171"/>
      <c r="FN171" s="171"/>
      <c r="FO171" s="171"/>
      <c r="FP171" s="171"/>
      <c r="FQ171" s="171"/>
      <c r="FR171" s="171"/>
      <c r="FS171" s="171"/>
      <c r="FT171" s="171"/>
      <c r="FU171" s="171"/>
      <c r="FV171" s="171"/>
      <c r="FW171" s="171"/>
      <c r="FX171" s="171"/>
      <c r="FY171" s="171"/>
      <c r="FZ171" s="171"/>
      <c r="GA171" s="171"/>
      <c r="GB171" s="171"/>
      <c r="GC171" s="171"/>
      <c r="GD171" s="171"/>
      <c r="GE171" s="171"/>
      <c r="GF171" s="171"/>
      <c r="GG171" s="171"/>
      <c r="GH171" s="171"/>
      <c r="GI171" s="171"/>
      <c r="GJ171" s="171"/>
      <c r="GK171" s="171"/>
      <c r="GL171" s="171"/>
      <c r="GM171" s="171"/>
      <c r="GN171" s="171"/>
      <c r="GO171" s="171"/>
      <c r="GP171" s="171"/>
      <c r="GQ171" s="171"/>
      <c r="GR171" s="171"/>
      <c r="GS171" s="171"/>
      <c r="GT171" s="171"/>
      <c r="GU171" s="171"/>
      <c r="GV171" s="171"/>
      <c r="GW171" s="171"/>
      <c r="GX171" s="171"/>
      <c r="GY171" s="171"/>
      <c r="GZ171" s="171"/>
      <c r="HA171" s="171"/>
      <c r="HB171" s="171"/>
      <c r="HC171" s="171"/>
      <c r="HD171" s="171"/>
      <c r="HE171" s="171"/>
      <c r="HF171" s="171"/>
      <c r="HG171" s="171"/>
      <c r="HH171" s="171"/>
      <c r="HI171" s="171"/>
      <c r="HJ171" s="171"/>
      <c r="HK171" s="171"/>
      <c r="HL171" s="171"/>
      <c r="HM171" s="171"/>
      <c r="HN171" s="171"/>
      <c r="HO171" s="171"/>
      <c r="HP171" s="171"/>
      <c r="HQ171" s="171"/>
      <c r="HR171" s="171"/>
      <c r="HS171" s="171"/>
      <c r="HT171" s="171"/>
      <c r="HU171" s="171"/>
      <c r="HV171" s="171"/>
      <c r="HW171" s="171"/>
      <c r="HX171" s="171"/>
      <c r="HY171" s="171"/>
      <c r="HZ171" s="171"/>
      <c r="IA171" s="171"/>
      <c r="IB171" s="171"/>
      <c r="IC171" s="171"/>
      <c r="ID171" s="171"/>
      <c r="IE171" s="171"/>
      <c r="IF171" s="171"/>
      <c r="IG171" s="171"/>
      <c r="IH171" s="171"/>
      <c r="II171" s="171"/>
      <c r="IJ171" s="171"/>
      <c r="IK171" s="171"/>
      <c r="IL171" s="171"/>
      <c r="IM171" s="171"/>
      <c r="IN171" s="171"/>
      <c r="IO171" s="171"/>
      <c r="IP171" s="171"/>
      <c r="IQ171" s="171"/>
      <c r="IR171" s="171"/>
      <c r="IS171" s="171"/>
      <c r="IT171" s="171"/>
      <c r="IU171" s="171"/>
      <c r="IV171" s="171"/>
      <c r="IW171" s="171"/>
      <c r="IX171" s="171"/>
      <c r="IY171" s="171"/>
      <c r="IZ171" s="171"/>
      <c r="JA171" s="171"/>
      <c r="JB171" s="171"/>
      <c r="JC171" s="171"/>
      <c r="JD171" s="171"/>
      <c r="JE171" s="171"/>
      <c r="JF171" s="171"/>
      <c r="JG171" s="171"/>
      <c r="JH171" s="171"/>
      <c r="JI171" s="171"/>
      <c r="JJ171" s="171"/>
      <c r="JK171" s="171"/>
      <c r="JL171" s="171"/>
      <c r="JM171" s="171"/>
      <c r="JN171" s="171"/>
      <c r="JO171" s="171"/>
      <c r="JP171" s="171"/>
      <c r="JQ171" s="171"/>
      <c r="JR171" s="171"/>
      <c r="JS171" s="171"/>
      <c r="JT171" s="171"/>
      <c r="JU171" s="171"/>
      <c r="JV171" s="171"/>
      <c r="JW171" s="171"/>
      <c r="JX171" s="171"/>
      <c r="JY171" s="171"/>
      <c r="JZ171" s="171"/>
      <c r="KA171" s="171"/>
      <c r="KB171" s="171"/>
      <c r="KC171" s="171"/>
      <c r="KD171" s="171"/>
      <c r="KE171" s="171"/>
      <c r="KF171" s="171"/>
      <c r="KG171" s="171"/>
      <c r="KH171" s="171"/>
      <c r="KI171" s="171"/>
      <c r="KJ171" s="171"/>
      <c r="KK171" s="171"/>
      <c r="KL171" s="171"/>
      <c r="KM171" s="171"/>
      <c r="KN171" s="171"/>
      <c r="KO171" s="171"/>
      <c r="KP171" s="171"/>
      <c r="KQ171" s="171"/>
      <c r="KR171" s="171"/>
      <c r="KS171" s="171"/>
    </row>
    <row r="172" spans="1:305" s="169" customFormat="1" ht="13.2" customHeight="1" x14ac:dyDescent="0.3">
      <c r="A172" s="180"/>
      <c r="B172" s="181"/>
      <c r="C172" s="182"/>
      <c r="D172" s="182"/>
      <c r="E172" s="182"/>
      <c r="F172" s="182"/>
      <c r="G172" s="182"/>
      <c r="J172" s="163"/>
      <c r="K172" s="170"/>
      <c r="L172" s="170"/>
      <c r="M172" s="170"/>
      <c r="N172" s="170"/>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c r="CK172" s="171"/>
      <c r="CL172" s="171"/>
      <c r="CM172" s="171"/>
      <c r="CN172" s="171"/>
      <c r="CO172" s="171"/>
      <c r="CP172" s="171"/>
      <c r="CQ172" s="171"/>
      <c r="CR172" s="171"/>
      <c r="CS172" s="171"/>
      <c r="CT172" s="171"/>
      <c r="CU172" s="171"/>
      <c r="CV172" s="171"/>
      <c r="CW172" s="171"/>
      <c r="CX172" s="171"/>
      <c r="CY172" s="171"/>
      <c r="CZ172" s="171"/>
      <c r="DA172" s="171"/>
      <c r="DB172" s="171"/>
      <c r="DC172" s="171"/>
      <c r="DD172" s="171"/>
      <c r="DE172" s="171"/>
      <c r="DF172" s="171"/>
      <c r="DG172" s="171"/>
      <c r="DH172" s="171"/>
      <c r="DI172" s="171"/>
      <c r="DJ172" s="171"/>
      <c r="DK172" s="171"/>
      <c r="DL172" s="171"/>
      <c r="DM172" s="171"/>
      <c r="DN172" s="171"/>
      <c r="DO172" s="171"/>
      <c r="DP172" s="171"/>
      <c r="DQ172" s="171"/>
      <c r="DR172" s="171"/>
      <c r="DS172" s="171"/>
      <c r="DT172" s="171"/>
      <c r="DU172" s="171"/>
      <c r="DV172" s="171"/>
      <c r="DW172" s="171"/>
      <c r="DX172" s="171"/>
      <c r="DY172" s="171"/>
      <c r="DZ172" s="171"/>
      <c r="EA172" s="171"/>
      <c r="EB172" s="171"/>
      <c r="EC172" s="171"/>
      <c r="ED172" s="171"/>
      <c r="EE172" s="171"/>
      <c r="EF172" s="171"/>
      <c r="EG172" s="171"/>
      <c r="EH172" s="171"/>
      <c r="EI172" s="171"/>
      <c r="EJ172" s="171"/>
      <c r="EK172" s="171"/>
      <c r="EL172" s="171"/>
      <c r="EM172" s="171"/>
      <c r="EN172" s="171"/>
      <c r="EO172" s="171"/>
      <c r="EP172" s="171"/>
      <c r="EQ172" s="171"/>
      <c r="ER172" s="171"/>
      <c r="ES172" s="171"/>
      <c r="ET172" s="171"/>
      <c r="EU172" s="171"/>
      <c r="EV172" s="171"/>
      <c r="EW172" s="171"/>
      <c r="EX172" s="171"/>
      <c r="EY172" s="171"/>
      <c r="EZ172" s="171"/>
      <c r="FA172" s="171"/>
      <c r="FB172" s="171"/>
      <c r="FC172" s="171"/>
      <c r="FD172" s="171"/>
      <c r="FE172" s="171"/>
      <c r="FF172" s="171"/>
      <c r="FG172" s="171"/>
      <c r="FH172" s="171"/>
      <c r="FI172" s="171"/>
      <c r="FJ172" s="171"/>
      <c r="FK172" s="171"/>
      <c r="FL172" s="171"/>
      <c r="FM172" s="171"/>
      <c r="FN172" s="171"/>
      <c r="FO172" s="171"/>
      <c r="FP172" s="171"/>
      <c r="FQ172" s="171"/>
      <c r="FR172" s="171"/>
      <c r="FS172" s="171"/>
      <c r="FT172" s="171"/>
      <c r="FU172" s="171"/>
      <c r="FV172" s="171"/>
      <c r="FW172" s="171"/>
      <c r="FX172" s="171"/>
      <c r="FY172" s="171"/>
      <c r="FZ172" s="171"/>
      <c r="GA172" s="171"/>
      <c r="GB172" s="171"/>
      <c r="GC172" s="171"/>
      <c r="GD172" s="171"/>
      <c r="GE172" s="171"/>
      <c r="GF172" s="171"/>
      <c r="GG172" s="171"/>
      <c r="GH172" s="171"/>
      <c r="GI172" s="171"/>
      <c r="GJ172" s="171"/>
      <c r="GK172" s="171"/>
      <c r="GL172" s="171"/>
      <c r="GM172" s="171"/>
      <c r="GN172" s="171"/>
      <c r="GO172" s="171"/>
      <c r="GP172" s="171"/>
      <c r="GQ172" s="171"/>
      <c r="GR172" s="171"/>
      <c r="GS172" s="171"/>
      <c r="GT172" s="171"/>
      <c r="GU172" s="171"/>
      <c r="GV172" s="171"/>
      <c r="GW172" s="171"/>
      <c r="GX172" s="171"/>
      <c r="GY172" s="171"/>
      <c r="GZ172" s="171"/>
      <c r="HA172" s="171"/>
      <c r="HB172" s="171"/>
      <c r="HC172" s="171"/>
      <c r="HD172" s="171"/>
      <c r="HE172" s="171"/>
      <c r="HF172" s="171"/>
      <c r="HG172" s="171"/>
      <c r="HH172" s="171"/>
      <c r="HI172" s="171"/>
      <c r="HJ172" s="171"/>
      <c r="HK172" s="171"/>
      <c r="HL172" s="171"/>
      <c r="HM172" s="171"/>
      <c r="HN172" s="171"/>
      <c r="HO172" s="171"/>
      <c r="HP172" s="171"/>
      <c r="HQ172" s="171"/>
      <c r="HR172" s="171"/>
      <c r="HS172" s="171"/>
      <c r="HT172" s="171"/>
      <c r="HU172" s="171"/>
      <c r="HV172" s="171"/>
      <c r="HW172" s="171"/>
      <c r="HX172" s="171"/>
      <c r="HY172" s="171"/>
      <c r="HZ172" s="171"/>
      <c r="IA172" s="171"/>
      <c r="IB172" s="171"/>
      <c r="IC172" s="171"/>
      <c r="ID172" s="171"/>
      <c r="IE172" s="171"/>
      <c r="IF172" s="171"/>
      <c r="IG172" s="171"/>
      <c r="IH172" s="171"/>
      <c r="II172" s="171"/>
      <c r="IJ172" s="171"/>
      <c r="IK172" s="171"/>
      <c r="IL172" s="171"/>
      <c r="IM172" s="171"/>
      <c r="IN172" s="171"/>
      <c r="IO172" s="171"/>
      <c r="IP172" s="171"/>
      <c r="IQ172" s="171"/>
      <c r="IR172" s="171"/>
      <c r="IS172" s="171"/>
      <c r="IT172" s="171"/>
      <c r="IU172" s="171"/>
      <c r="IV172" s="171"/>
      <c r="IW172" s="171"/>
      <c r="IX172" s="171"/>
      <c r="IY172" s="171"/>
      <c r="IZ172" s="171"/>
      <c r="JA172" s="171"/>
      <c r="JB172" s="171"/>
      <c r="JC172" s="171"/>
      <c r="JD172" s="171"/>
      <c r="JE172" s="171"/>
      <c r="JF172" s="171"/>
      <c r="JG172" s="171"/>
      <c r="JH172" s="171"/>
      <c r="JI172" s="171"/>
      <c r="JJ172" s="171"/>
      <c r="JK172" s="171"/>
      <c r="JL172" s="171"/>
      <c r="JM172" s="171"/>
      <c r="JN172" s="171"/>
      <c r="JO172" s="171"/>
      <c r="JP172" s="171"/>
      <c r="JQ172" s="171"/>
      <c r="JR172" s="171"/>
      <c r="JS172" s="171"/>
      <c r="JT172" s="171"/>
      <c r="JU172" s="171"/>
      <c r="JV172" s="171"/>
      <c r="JW172" s="171"/>
      <c r="JX172" s="171"/>
      <c r="JY172" s="171"/>
      <c r="JZ172" s="171"/>
      <c r="KA172" s="171"/>
      <c r="KB172" s="171"/>
      <c r="KC172" s="171"/>
      <c r="KD172" s="171"/>
      <c r="KE172" s="171"/>
      <c r="KF172" s="171"/>
      <c r="KG172" s="171"/>
      <c r="KH172" s="171"/>
      <c r="KI172" s="171"/>
      <c r="KJ172" s="171"/>
      <c r="KK172" s="171"/>
      <c r="KL172" s="171"/>
      <c r="KM172" s="171"/>
      <c r="KN172" s="171"/>
      <c r="KO172" s="171"/>
      <c r="KP172" s="171"/>
      <c r="KQ172" s="171"/>
      <c r="KR172" s="171"/>
      <c r="KS172" s="171"/>
    </row>
    <row r="173" spans="1:305" s="127" customFormat="1" x14ac:dyDescent="0.3">
      <c r="A173" s="177" t="s">
        <v>413</v>
      </c>
      <c r="B173" s="177"/>
      <c r="C173" s="177"/>
      <c r="D173" s="177"/>
      <c r="E173" s="177"/>
      <c r="F173" s="177"/>
      <c r="G173" s="177"/>
    </row>
    <row r="174" spans="1:305" s="127" customFormat="1" x14ac:dyDescent="0.3">
      <c r="A174" s="127" t="s">
        <v>307</v>
      </c>
    </row>
    <row r="175" spans="1:305" s="127" customFormat="1" x14ac:dyDescent="0.3">
      <c r="A175" s="127" t="s">
        <v>306</v>
      </c>
    </row>
    <row r="176" spans="1:305" s="127" customFormat="1" x14ac:dyDescent="0.3">
      <c r="A176" s="127" t="s">
        <v>308</v>
      </c>
    </row>
    <row r="177" spans="1:305" x14ac:dyDescent="0.3">
      <c r="A177" s="93" t="str">
        <f>A6</f>
        <v>kWh/PAYG/Energy-based tariff</v>
      </c>
      <c r="B177" s="159"/>
    </row>
    <row r="178" spans="1:305" s="163" customFormat="1" x14ac:dyDescent="0.3">
      <c r="A178" s="596"/>
      <c r="B178" s="160"/>
      <c r="C178" s="161"/>
      <c r="D178" s="161"/>
      <c r="E178" s="161"/>
      <c r="F178" s="161"/>
      <c r="G178" s="162"/>
    </row>
    <row r="179" spans="1:305" s="163" customFormat="1" x14ac:dyDescent="0.3">
      <c r="A179" s="597"/>
      <c r="B179" s="164"/>
      <c r="C179" s="165"/>
      <c r="D179" s="165"/>
      <c r="E179" s="165"/>
      <c r="F179" s="165"/>
      <c r="G179" s="166"/>
    </row>
    <row r="180" spans="1:305" s="163" customFormat="1" x14ac:dyDescent="0.3">
      <c r="A180" s="596"/>
      <c r="B180" s="160"/>
      <c r="C180" s="161"/>
      <c r="D180" s="161"/>
      <c r="E180" s="161"/>
      <c r="F180" s="161"/>
      <c r="G180" s="162"/>
    </row>
    <row r="181" spans="1:305" s="163" customFormat="1" x14ac:dyDescent="0.3">
      <c r="A181" s="597"/>
      <c r="B181" s="164"/>
      <c r="C181" s="165"/>
      <c r="D181" s="165"/>
      <c r="E181" s="165"/>
      <c r="F181" s="165"/>
      <c r="G181" s="166"/>
    </row>
    <row r="182" spans="1:305" s="163" customFormat="1" x14ac:dyDescent="0.3">
      <c r="A182" s="596"/>
      <c r="B182" s="160"/>
      <c r="C182" s="161"/>
      <c r="D182" s="161"/>
      <c r="E182" s="161"/>
      <c r="F182" s="161"/>
      <c r="G182" s="162"/>
    </row>
    <row r="183" spans="1:305" s="163" customFormat="1" x14ac:dyDescent="0.3">
      <c r="A183" s="597"/>
      <c r="B183" s="164"/>
      <c r="C183" s="165"/>
      <c r="D183" s="165"/>
      <c r="E183" s="165"/>
      <c r="F183" s="165"/>
      <c r="G183" s="166"/>
    </row>
    <row r="184" spans="1:305" s="163" customFormat="1" x14ac:dyDescent="0.3">
      <c r="A184" s="596"/>
      <c r="B184" s="160"/>
      <c r="C184" s="161"/>
      <c r="D184" s="161"/>
      <c r="E184" s="161"/>
      <c r="F184" s="161"/>
      <c r="G184" s="162"/>
    </row>
    <row r="185" spans="1:305" s="163" customFormat="1" x14ac:dyDescent="0.3">
      <c r="A185" s="597"/>
      <c r="B185" s="164"/>
      <c r="C185" s="165"/>
      <c r="D185" s="165"/>
      <c r="E185" s="165"/>
      <c r="F185" s="165"/>
      <c r="G185" s="166"/>
    </row>
    <row r="186" spans="1:305" s="163" customFormat="1" x14ac:dyDescent="0.3">
      <c r="A186" s="596"/>
      <c r="B186" s="160"/>
      <c r="C186" s="161"/>
      <c r="D186" s="161"/>
      <c r="E186" s="161"/>
      <c r="F186" s="161"/>
      <c r="G186" s="162"/>
    </row>
    <row r="187" spans="1:305" s="163" customFormat="1" x14ac:dyDescent="0.3">
      <c r="A187" s="597"/>
      <c r="B187" s="164"/>
      <c r="C187" s="165"/>
      <c r="D187" s="165"/>
      <c r="E187" s="165"/>
      <c r="F187" s="165"/>
      <c r="G187" s="166"/>
    </row>
    <row r="188" spans="1:305" s="163" customFormat="1" x14ac:dyDescent="0.3">
      <c r="A188" s="596"/>
      <c r="B188" s="160"/>
      <c r="C188" s="161"/>
      <c r="D188" s="161"/>
      <c r="E188" s="161"/>
      <c r="F188" s="161"/>
      <c r="G188" s="162"/>
    </row>
    <row r="189" spans="1:305" s="163" customFormat="1" x14ac:dyDescent="0.3">
      <c r="A189" s="597"/>
      <c r="B189" s="164"/>
      <c r="C189" s="165"/>
      <c r="D189" s="165"/>
      <c r="E189" s="165"/>
      <c r="F189" s="165"/>
      <c r="G189" s="166"/>
    </row>
    <row r="190" spans="1:305" s="169" customFormat="1" ht="13.2" customHeight="1" x14ac:dyDescent="0.3">
      <c r="A190" s="596"/>
      <c r="B190" s="160"/>
      <c r="C190" s="167"/>
      <c r="D190" s="167"/>
      <c r="E190" s="167"/>
      <c r="F190" s="167"/>
      <c r="G190" s="168"/>
      <c r="J190" s="163"/>
      <c r="K190" s="170"/>
      <c r="L190" s="170"/>
      <c r="M190" s="170"/>
      <c r="N190" s="170"/>
      <c r="Q190" s="171"/>
      <c r="R190" s="171"/>
      <c r="S190" s="171"/>
      <c r="T190" s="171"/>
      <c r="U190" s="171"/>
      <c r="V190" s="171"/>
      <c r="W190" s="171"/>
      <c r="X190" s="171"/>
      <c r="Y190" s="171"/>
      <c r="Z190" s="171"/>
      <c r="AA190" s="171"/>
      <c r="AB190" s="171"/>
      <c r="AC190" s="171"/>
      <c r="AD190" s="171"/>
      <c r="AE190" s="171"/>
      <c r="AF190" s="171"/>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171"/>
      <c r="BQ190" s="171"/>
      <c r="BR190" s="171"/>
      <c r="BS190" s="171"/>
      <c r="BT190" s="171"/>
      <c r="BU190" s="171"/>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c r="IX190" s="171"/>
      <c r="IY190" s="171"/>
      <c r="IZ190" s="171"/>
      <c r="JA190" s="171"/>
      <c r="JB190" s="171"/>
      <c r="JC190" s="171"/>
      <c r="JD190" s="171"/>
      <c r="JE190" s="171"/>
      <c r="JF190" s="171"/>
      <c r="JG190" s="171"/>
      <c r="JH190" s="171"/>
      <c r="JI190" s="171"/>
      <c r="JJ190" s="171"/>
      <c r="JK190" s="171"/>
      <c r="JL190" s="171"/>
      <c r="JM190" s="171"/>
      <c r="JN190" s="171"/>
      <c r="JO190" s="171"/>
      <c r="JP190" s="171"/>
      <c r="JQ190" s="171"/>
      <c r="JR190" s="171"/>
      <c r="JS190" s="171"/>
      <c r="JT190" s="171"/>
      <c r="JU190" s="171"/>
      <c r="JV190" s="171"/>
      <c r="JW190" s="171"/>
      <c r="JX190" s="171"/>
      <c r="JY190" s="171"/>
      <c r="JZ190" s="171"/>
      <c r="KA190" s="171"/>
      <c r="KB190" s="171"/>
      <c r="KC190" s="171"/>
      <c r="KD190" s="171"/>
      <c r="KE190" s="171"/>
      <c r="KF190" s="171"/>
      <c r="KG190" s="171"/>
      <c r="KH190" s="171"/>
      <c r="KI190" s="171"/>
      <c r="KJ190" s="171"/>
      <c r="KK190" s="171"/>
      <c r="KL190" s="171"/>
      <c r="KM190" s="171"/>
      <c r="KN190" s="171"/>
      <c r="KO190" s="171"/>
      <c r="KP190" s="171"/>
      <c r="KQ190" s="171"/>
      <c r="KR190" s="171"/>
      <c r="KS190" s="171"/>
    </row>
    <row r="191" spans="1:305" s="169" customFormat="1" ht="13.2" customHeight="1" x14ac:dyDescent="0.3">
      <c r="A191" s="597"/>
      <c r="B191" s="164"/>
      <c r="C191" s="172"/>
      <c r="D191" s="172"/>
      <c r="E191" s="172"/>
      <c r="F191" s="172"/>
      <c r="G191" s="173"/>
      <c r="J191" s="163"/>
      <c r="K191" s="170"/>
      <c r="L191" s="170"/>
      <c r="M191" s="170"/>
      <c r="N191" s="170"/>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c r="BR191" s="171"/>
      <c r="BS191" s="171"/>
      <c r="BT191" s="171"/>
      <c r="BU191" s="171"/>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c r="IX191" s="171"/>
      <c r="IY191" s="171"/>
      <c r="IZ191" s="171"/>
      <c r="JA191" s="171"/>
      <c r="JB191" s="171"/>
      <c r="JC191" s="171"/>
      <c r="JD191" s="171"/>
      <c r="JE191" s="171"/>
      <c r="JF191" s="171"/>
      <c r="JG191" s="171"/>
      <c r="JH191" s="171"/>
      <c r="JI191" s="171"/>
      <c r="JJ191" s="171"/>
      <c r="JK191" s="171"/>
      <c r="JL191" s="171"/>
      <c r="JM191" s="171"/>
      <c r="JN191" s="171"/>
      <c r="JO191" s="171"/>
      <c r="JP191" s="171"/>
      <c r="JQ191" s="171"/>
      <c r="JR191" s="171"/>
      <c r="JS191" s="171"/>
      <c r="JT191" s="171"/>
      <c r="JU191" s="171"/>
      <c r="JV191" s="171"/>
      <c r="JW191" s="171"/>
      <c r="JX191" s="171"/>
      <c r="JY191" s="171"/>
      <c r="JZ191" s="171"/>
      <c r="KA191" s="171"/>
      <c r="KB191" s="171"/>
      <c r="KC191" s="171"/>
      <c r="KD191" s="171"/>
      <c r="KE191" s="171"/>
      <c r="KF191" s="171"/>
      <c r="KG191" s="171"/>
      <c r="KH191" s="171"/>
      <c r="KI191" s="171"/>
      <c r="KJ191" s="171"/>
      <c r="KK191" s="171"/>
      <c r="KL191" s="171"/>
      <c r="KM191" s="171"/>
      <c r="KN191" s="171"/>
      <c r="KO191" s="171"/>
      <c r="KP191" s="171"/>
      <c r="KQ191" s="171"/>
      <c r="KR191" s="171"/>
      <c r="KS191" s="171"/>
    </row>
    <row r="193" spans="1:305" s="127" customFormat="1" x14ac:dyDescent="0.3">
      <c r="A193" s="604" t="s">
        <v>415</v>
      </c>
      <c r="B193" s="605"/>
      <c r="C193" s="605"/>
      <c r="D193" s="605"/>
      <c r="E193" s="605"/>
      <c r="F193" s="605"/>
      <c r="G193" s="606"/>
    </row>
    <row r="194" spans="1:305" x14ac:dyDescent="0.3">
      <c r="A194" s="93" t="str">
        <f>A6</f>
        <v>kWh/PAYG/Energy-based tariff</v>
      </c>
      <c r="B194" s="159"/>
    </row>
    <row r="195" spans="1:305" s="163" customFormat="1" x14ac:dyDescent="0.3">
      <c r="A195" s="596"/>
      <c r="B195" s="160"/>
      <c r="C195" s="161"/>
      <c r="D195" s="161"/>
      <c r="E195" s="161"/>
      <c r="F195" s="161"/>
      <c r="G195" s="162"/>
    </row>
    <row r="196" spans="1:305" s="163" customFormat="1" x14ac:dyDescent="0.3">
      <c r="A196" s="597"/>
      <c r="B196" s="164"/>
      <c r="C196" s="165"/>
      <c r="D196" s="165"/>
      <c r="E196" s="165"/>
      <c r="F196" s="165"/>
      <c r="G196" s="166"/>
    </row>
    <row r="197" spans="1:305" s="163" customFormat="1" x14ac:dyDescent="0.3">
      <c r="A197" s="596"/>
      <c r="B197" s="160"/>
      <c r="C197" s="161"/>
      <c r="D197" s="161"/>
      <c r="E197" s="161"/>
      <c r="F197" s="161"/>
      <c r="G197" s="162"/>
    </row>
    <row r="198" spans="1:305" s="163" customFormat="1" x14ac:dyDescent="0.3">
      <c r="A198" s="597"/>
      <c r="B198" s="164"/>
      <c r="C198" s="165"/>
      <c r="D198" s="165"/>
      <c r="E198" s="165"/>
      <c r="F198" s="165"/>
      <c r="G198" s="166"/>
    </row>
    <row r="199" spans="1:305" s="163" customFormat="1" x14ac:dyDescent="0.3">
      <c r="A199" s="596"/>
      <c r="B199" s="160"/>
      <c r="C199" s="161"/>
      <c r="D199" s="161"/>
      <c r="E199" s="161"/>
      <c r="F199" s="161"/>
      <c r="G199" s="162"/>
    </row>
    <row r="200" spans="1:305" s="163" customFormat="1" x14ac:dyDescent="0.3">
      <c r="A200" s="597"/>
      <c r="B200" s="164"/>
      <c r="C200" s="165"/>
      <c r="D200" s="165"/>
      <c r="E200" s="165"/>
      <c r="F200" s="165"/>
      <c r="G200" s="166"/>
    </row>
    <row r="201" spans="1:305" s="163" customFormat="1" x14ac:dyDescent="0.3">
      <c r="A201" s="596"/>
      <c r="B201" s="160"/>
      <c r="C201" s="161"/>
      <c r="D201" s="161"/>
      <c r="E201" s="161"/>
      <c r="F201" s="161"/>
      <c r="G201" s="162"/>
    </row>
    <row r="202" spans="1:305" s="163" customFormat="1" x14ac:dyDescent="0.3">
      <c r="A202" s="597"/>
      <c r="B202" s="164"/>
      <c r="C202" s="165"/>
      <c r="D202" s="165"/>
      <c r="E202" s="165"/>
      <c r="F202" s="165"/>
      <c r="G202" s="166"/>
    </row>
    <row r="203" spans="1:305" s="163" customFormat="1" x14ac:dyDescent="0.3">
      <c r="A203" s="596"/>
      <c r="B203" s="160"/>
      <c r="C203" s="161"/>
      <c r="D203" s="161"/>
      <c r="E203" s="161"/>
      <c r="F203" s="161"/>
      <c r="G203" s="162"/>
    </row>
    <row r="204" spans="1:305" s="163" customFormat="1" x14ac:dyDescent="0.3">
      <c r="A204" s="597"/>
      <c r="B204" s="164"/>
      <c r="C204" s="165"/>
      <c r="D204" s="165"/>
      <c r="E204" s="165"/>
      <c r="F204" s="165"/>
      <c r="G204" s="166"/>
    </row>
    <row r="205" spans="1:305" s="163" customFormat="1" x14ac:dyDescent="0.3">
      <c r="A205" s="596"/>
      <c r="B205" s="160"/>
      <c r="C205" s="161"/>
      <c r="D205" s="161"/>
      <c r="E205" s="161"/>
      <c r="F205" s="161"/>
      <c r="G205" s="162"/>
    </row>
    <row r="206" spans="1:305" s="163" customFormat="1" x14ac:dyDescent="0.3">
      <c r="A206" s="597"/>
      <c r="B206" s="164"/>
      <c r="C206" s="165"/>
      <c r="D206" s="165"/>
      <c r="E206" s="165"/>
      <c r="F206" s="165"/>
      <c r="G206" s="166"/>
    </row>
    <row r="207" spans="1:305" s="169" customFormat="1" ht="13.2" customHeight="1" x14ac:dyDescent="0.3">
      <c r="A207" s="596"/>
      <c r="B207" s="160"/>
      <c r="C207" s="167"/>
      <c r="D207" s="167"/>
      <c r="E207" s="167"/>
      <c r="F207" s="167"/>
      <c r="G207" s="168"/>
      <c r="J207" s="163"/>
      <c r="K207" s="170"/>
      <c r="L207" s="170"/>
      <c r="M207" s="170"/>
      <c r="N207" s="170"/>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c r="BP207" s="171"/>
      <c r="BQ207" s="171"/>
      <c r="BR207" s="171"/>
      <c r="BS207" s="171"/>
      <c r="BT207" s="171"/>
      <c r="BU207" s="171"/>
      <c r="BV207" s="171"/>
      <c r="BW207" s="171"/>
      <c r="BX207" s="171"/>
      <c r="BY207" s="171"/>
      <c r="BZ207" s="171"/>
      <c r="CA207" s="171"/>
      <c r="CB207" s="171"/>
      <c r="CC207" s="171"/>
      <c r="CD207" s="171"/>
      <c r="CE207" s="171"/>
      <c r="CF207" s="171"/>
      <c r="CG207" s="171"/>
      <c r="CH207" s="171"/>
      <c r="CI207" s="171"/>
      <c r="CJ207" s="171"/>
      <c r="CK207" s="171"/>
      <c r="CL207" s="171"/>
      <c r="CM207" s="171"/>
      <c r="CN207" s="171"/>
      <c r="CO207" s="171"/>
      <c r="CP207" s="171"/>
      <c r="CQ207" s="171"/>
      <c r="CR207" s="171"/>
      <c r="CS207" s="171"/>
      <c r="CT207" s="171"/>
      <c r="CU207" s="171"/>
      <c r="CV207" s="171"/>
      <c r="CW207" s="171"/>
      <c r="CX207" s="171"/>
      <c r="CY207" s="171"/>
      <c r="CZ207" s="171"/>
      <c r="DA207" s="171"/>
      <c r="DB207" s="171"/>
      <c r="DC207" s="171"/>
      <c r="DD207" s="171"/>
      <c r="DE207" s="171"/>
      <c r="DF207" s="171"/>
      <c r="DG207" s="171"/>
      <c r="DH207" s="171"/>
      <c r="DI207" s="171"/>
      <c r="DJ207" s="171"/>
      <c r="DK207" s="171"/>
      <c r="DL207" s="171"/>
      <c r="DM207" s="171"/>
      <c r="DN207" s="171"/>
      <c r="DO207" s="171"/>
      <c r="DP207" s="171"/>
      <c r="DQ207" s="171"/>
      <c r="DR207" s="171"/>
      <c r="DS207" s="171"/>
      <c r="DT207" s="171"/>
      <c r="DU207" s="171"/>
      <c r="DV207" s="171"/>
      <c r="DW207" s="171"/>
      <c r="DX207" s="171"/>
      <c r="DY207" s="171"/>
      <c r="DZ207" s="171"/>
      <c r="EA207" s="171"/>
      <c r="EB207" s="171"/>
      <c r="EC207" s="171"/>
      <c r="ED207" s="171"/>
      <c r="EE207" s="171"/>
      <c r="EF207" s="171"/>
      <c r="EG207" s="171"/>
      <c r="EH207" s="171"/>
      <c r="EI207" s="171"/>
      <c r="EJ207" s="171"/>
      <c r="EK207" s="171"/>
      <c r="EL207" s="171"/>
      <c r="EM207" s="171"/>
      <c r="EN207" s="171"/>
      <c r="EO207" s="171"/>
      <c r="EP207" s="171"/>
      <c r="EQ207" s="171"/>
      <c r="ER207" s="171"/>
      <c r="ES207" s="171"/>
      <c r="ET207" s="171"/>
      <c r="EU207" s="171"/>
      <c r="EV207" s="171"/>
      <c r="EW207" s="171"/>
      <c r="EX207" s="171"/>
      <c r="EY207" s="171"/>
      <c r="EZ207" s="171"/>
      <c r="FA207" s="171"/>
      <c r="FB207" s="171"/>
      <c r="FC207" s="171"/>
      <c r="FD207" s="171"/>
      <c r="FE207" s="171"/>
      <c r="FF207" s="171"/>
      <c r="FG207" s="171"/>
      <c r="FH207" s="171"/>
      <c r="FI207" s="171"/>
      <c r="FJ207" s="171"/>
      <c r="FK207" s="171"/>
      <c r="FL207" s="171"/>
      <c r="FM207" s="171"/>
      <c r="FN207" s="171"/>
      <c r="FO207" s="171"/>
      <c r="FP207" s="171"/>
      <c r="FQ207" s="171"/>
      <c r="FR207" s="171"/>
      <c r="FS207" s="171"/>
      <c r="FT207" s="171"/>
      <c r="FU207" s="171"/>
      <c r="FV207" s="171"/>
      <c r="FW207" s="171"/>
      <c r="FX207" s="171"/>
      <c r="FY207" s="171"/>
      <c r="FZ207" s="171"/>
      <c r="GA207" s="171"/>
      <c r="GB207" s="171"/>
      <c r="GC207" s="171"/>
      <c r="GD207" s="171"/>
      <c r="GE207" s="171"/>
      <c r="GF207" s="171"/>
      <c r="GG207" s="171"/>
      <c r="GH207" s="171"/>
      <c r="GI207" s="171"/>
      <c r="GJ207" s="171"/>
      <c r="GK207" s="171"/>
      <c r="GL207" s="171"/>
      <c r="GM207" s="171"/>
      <c r="GN207" s="171"/>
      <c r="GO207" s="171"/>
      <c r="GP207" s="171"/>
      <c r="GQ207" s="171"/>
      <c r="GR207" s="171"/>
      <c r="GS207" s="171"/>
      <c r="GT207" s="171"/>
      <c r="GU207" s="171"/>
      <c r="GV207" s="171"/>
      <c r="GW207" s="171"/>
      <c r="GX207" s="171"/>
      <c r="GY207" s="171"/>
      <c r="GZ207" s="171"/>
      <c r="HA207" s="171"/>
      <c r="HB207" s="171"/>
      <c r="HC207" s="171"/>
      <c r="HD207" s="171"/>
      <c r="HE207" s="171"/>
      <c r="HF207" s="171"/>
      <c r="HG207" s="171"/>
      <c r="HH207" s="171"/>
      <c r="HI207" s="171"/>
      <c r="HJ207" s="171"/>
      <c r="HK207" s="171"/>
      <c r="HL207" s="171"/>
      <c r="HM207" s="171"/>
      <c r="HN207" s="171"/>
      <c r="HO207" s="171"/>
      <c r="HP207" s="171"/>
      <c r="HQ207" s="171"/>
      <c r="HR207" s="171"/>
      <c r="HS207" s="171"/>
      <c r="HT207" s="171"/>
      <c r="HU207" s="171"/>
      <c r="HV207" s="171"/>
      <c r="HW207" s="171"/>
      <c r="HX207" s="171"/>
      <c r="HY207" s="171"/>
      <c r="HZ207" s="171"/>
      <c r="IA207" s="171"/>
      <c r="IB207" s="171"/>
      <c r="IC207" s="171"/>
      <c r="ID207" s="171"/>
      <c r="IE207" s="171"/>
      <c r="IF207" s="171"/>
      <c r="IG207" s="171"/>
      <c r="IH207" s="171"/>
      <c r="II207" s="171"/>
      <c r="IJ207" s="171"/>
      <c r="IK207" s="171"/>
      <c r="IL207" s="171"/>
      <c r="IM207" s="171"/>
      <c r="IN207" s="171"/>
      <c r="IO207" s="171"/>
      <c r="IP207" s="171"/>
      <c r="IQ207" s="171"/>
      <c r="IR207" s="171"/>
      <c r="IS207" s="171"/>
      <c r="IT207" s="171"/>
      <c r="IU207" s="171"/>
      <c r="IV207" s="171"/>
      <c r="IW207" s="171"/>
      <c r="IX207" s="171"/>
      <c r="IY207" s="171"/>
      <c r="IZ207" s="171"/>
      <c r="JA207" s="171"/>
      <c r="JB207" s="171"/>
      <c r="JC207" s="171"/>
      <c r="JD207" s="171"/>
      <c r="JE207" s="171"/>
      <c r="JF207" s="171"/>
      <c r="JG207" s="171"/>
      <c r="JH207" s="171"/>
      <c r="JI207" s="171"/>
      <c r="JJ207" s="171"/>
      <c r="JK207" s="171"/>
      <c r="JL207" s="171"/>
      <c r="JM207" s="171"/>
      <c r="JN207" s="171"/>
      <c r="JO207" s="171"/>
      <c r="JP207" s="171"/>
      <c r="JQ207" s="171"/>
      <c r="JR207" s="171"/>
      <c r="JS207" s="171"/>
      <c r="JT207" s="171"/>
      <c r="JU207" s="171"/>
      <c r="JV207" s="171"/>
      <c r="JW207" s="171"/>
      <c r="JX207" s="171"/>
      <c r="JY207" s="171"/>
      <c r="JZ207" s="171"/>
      <c r="KA207" s="171"/>
      <c r="KB207" s="171"/>
      <c r="KC207" s="171"/>
      <c r="KD207" s="171"/>
      <c r="KE207" s="171"/>
      <c r="KF207" s="171"/>
      <c r="KG207" s="171"/>
      <c r="KH207" s="171"/>
      <c r="KI207" s="171"/>
      <c r="KJ207" s="171"/>
      <c r="KK207" s="171"/>
      <c r="KL207" s="171"/>
      <c r="KM207" s="171"/>
      <c r="KN207" s="171"/>
      <c r="KO207" s="171"/>
      <c r="KP207" s="171"/>
      <c r="KQ207" s="171"/>
      <c r="KR207" s="171"/>
      <c r="KS207" s="171"/>
    </row>
    <row r="208" spans="1:305" s="169" customFormat="1" ht="13.2" customHeight="1" x14ac:dyDescent="0.3">
      <c r="A208" s="597"/>
      <c r="B208" s="164"/>
      <c r="C208" s="172"/>
      <c r="D208" s="172"/>
      <c r="E208" s="172"/>
      <c r="F208" s="172"/>
      <c r="G208" s="173"/>
      <c r="J208" s="163"/>
      <c r="K208" s="170"/>
      <c r="L208" s="170"/>
      <c r="M208" s="170"/>
      <c r="N208" s="170"/>
      <c r="Q208" s="171"/>
      <c r="R208" s="171"/>
      <c r="S208" s="171"/>
      <c r="T208" s="171"/>
      <c r="U208" s="171"/>
      <c r="V208" s="171"/>
      <c r="W208" s="171"/>
      <c r="X208" s="171"/>
      <c r="Y208" s="171"/>
      <c r="Z208" s="171"/>
      <c r="AA208" s="171"/>
      <c r="AB208" s="171"/>
      <c r="AC208" s="171"/>
      <c r="AD208" s="171"/>
      <c r="AE208" s="171"/>
      <c r="AF208" s="171"/>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c r="BN208" s="171"/>
      <c r="BO208" s="171"/>
      <c r="BP208" s="171"/>
      <c r="BQ208" s="171"/>
      <c r="BR208" s="171"/>
      <c r="BS208" s="171"/>
      <c r="BT208" s="171"/>
      <c r="BU208" s="171"/>
      <c r="BV208" s="171"/>
      <c r="BW208" s="171"/>
      <c r="BX208" s="171"/>
      <c r="BY208" s="171"/>
      <c r="BZ208" s="171"/>
      <c r="CA208" s="171"/>
      <c r="CB208" s="171"/>
      <c r="CC208" s="171"/>
      <c r="CD208" s="171"/>
      <c r="CE208" s="171"/>
      <c r="CF208" s="171"/>
      <c r="CG208" s="171"/>
      <c r="CH208" s="171"/>
      <c r="CI208" s="171"/>
      <c r="CJ208" s="171"/>
      <c r="CK208" s="171"/>
      <c r="CL208" s="171"/>
      <c r="CM208" s="171"/>
      <c r="CN208" s="171"/>
      <c r="CO208" s="171"/>
      <c r="CP208" s="171"/>
      <c r="CQ208" s="171"/>
      <c r="CR208" s="171"/>
      <c r="CS208" s="171"/>
      <c r="CT208" s="171"/>
      <c r="CU208" s="171"/>
      <c r="CV208" s="171"/>
      <c r="CW208" s="171"/>
      <c r="CX208" s="171"/>
      <c r="CY208" s="171"/>
      <c r="CZ208" s="171"/>
      <c r="DA208" s="171"/>
      <c r="DB208" s="171"/>
      <c r="DC208" s="171"/>
      <c r="DD208" s="171"/>
      <c r="DE208" s="171"/>
      <c r="DF208" s="171"/>
      <c r="DG208" s="171"/>
      <c r="DH208" s="171"/>
      <c r="DI208" s="171"/>
      <c r="DJ208" s="171"/>
      <c r="DK208" s="171"/>
      <c r="DL208" s="171"/>
      <c r="DM208" s="171"/>
      <c r="DN208" s="171"/>
      <c r="DO208" s="171"/>
      <c r="DP208" s="171"/>
      <c r="DQ208" s="171"/>
      <c r="DR208" s="171"/>
      <c r="DS208" s="171"/>
      <c r="DT208" s="171"/>
      <c r="DU208" s="171"/>
      <c r="DV208" s="171"/>
      <c r="DW208" s="171"/>
      <c r="DX208" s="171"/>
      <c r="DY208" s="171"/>
      <c r="DZ208" s="171"/>
      <c r="EA208" s="171"/>
      <c r="EB208" s="171"/>
      <c r="EC208" s="171"/>
      <c r="ED208" s="171"/>
      <c r="EE208" s="171"/>
      <c r="EF208" s="171"/>
      <c r="EG208" s="171"/>
      <c r="EH208" s="171"/>
      <c r="EI208" s="171"/>
      <c r="EJ208" s="171"/>
      <c r="EK208" s="171"/>
      <c r="EL208" s="171"/>
      <c r="EM208" s="171"/>
      <c r="EN208" s="171"/>
      <c r="EO208" s="171"/>
      <c r="EP208" s="171"/>
      <c r="EQ208" s="171"/>
      <c r="ER208" s="171"/>
      <c r="ES208" s="171"/>
      <c r="ET208" s="171"/>
      <c r="EU208" s="171"/>
      <c r="EV208" s="171"/>
      <c r="EW208" s="171"/>
      <c r="EX208" s="171"/>
      <c r="EY208" s="171"/>
      <c r="EZ208" s="171"/>
      <c r="FA208" s="171"/>
      <c r="FB208" s="171"/>
      <c r="FC208" s="171"/>
      <c r="FD208" s="171"/>
      <c r="FE208" s="171"/>
      <c r="FF208" s="171"/>
      <c r="FG208" s="171"/>
      <c r="FH208" s="171"/>
      <c r="FI208" s="171"/>
      <c r="FJ208" s="171"/>
      <c r="FK208" s="171"/>
      <c r="FL208" s="171"/>
      <c r="FM208" s="171"/>
      <c r="FN208" s="171"/>
      <c r="FO208" s="171"/>
      <c r="FP208" s="171"/>
      <c r="FQ208" s="171"/>
      <c r="FR208" s="171"/>
      <c r="FS208" s="171"/>
      <c r="FT208" s="171"/>
      <c r="FU208" s="171"/>
      <c r="FV208" s="171"/>
      <c r="FW208" s="171"/>
      <c r="FX208" s="171"/>
      <c r="FY208" s="171"/>
      <c r="FZ208" s="171"/>
      <c r="GA208" s="171"/>
      <c r="GB208" s="171"/>
      <c r="GC208" s="171"/>
      <c r="GD208" s="171"/>
      <c r="GE208" s="171"/>
      <c r="GF208" s="171"/>
      <c r="GG208" s="171"/>
      <c r="GH208" s="171"/>
      <c r="GI208" s="171"/>
      <c r="GJ208" s="171"/>
      <c r="GK208" s="171"/>
      <c r="GL208" s="171"/>
      <c r="GM208" s="171"/>
      <c r="GN208" s="171"/>
      <c r="GO208" s="171"/>
      <c r="GP208" s="171"/>
      <c r="GQ208" s="171"/>
      <c r="GR208" s="171"/>
      <c r="GS208" s="171"/>
      <c r="GT208" s="171"/>
      <c r="GU208" s="171"/>
      <c r="GV208" s="171"/>
      <c r="GW208" s="171"/>
      <c r="GX208" s="171"/>
      <c r="GY208" s="171"/>
      <c r="GZ208" s="171"/>
      <c r="HA208" s="171"/>
      <c r="HB208" s="171"/>
      <c r="HC208" s="171"/>
      <c r="HD208" s="171"/>
      <c r="HE208" s="171"/>
      <c r="HF208" s="171"/>
      <c r="HG208" s="171"/>
      <c r="HH208" s="171"/>
      <c r="HI208" s="171"/>
      <c r="HJ208" s="171"/>
      <c r="HK208" s="171"/>
      <c r="HL208" s="171"/>
      <c r="HM208" s="171"/>
      <c r="HN208" s="171"/>
      <c r="HO208" s="171"/>
      <c r="HP208" s="171"/>
      <c r="HQ208" s="171"/>
      <c r="HR208" s="171"/>
      <c r="HS208" s="171"/>
      <c r="HT208" s="171"/>
      <c r="HU208" s="171"/>
      <c r="HV208" s="171"/>
      <c r="HW208" s="171"/>
      <c r="HX208" s="171"/>
      <c r="HY208" s="171"/>
      <c r="HZ208" s="171"/>
      <c r="IA208" s="171"/>
      <c r="IB208" s="171"/>
      <c r="IC208" s="171"/>
      <c r="ID208" s="171"/>
      <c r="IE208" s="171"/>
      <c r="IF208" s="171"/>
      <c r="IG208" s="171"/>
      <c r="IH208" s="171"/>
      <c r="II208" s="171"/>
      <c r="IJ208" s="171"/>
      <c r="IK208" s="171"/>
      <c r="IL208" s="171"/>
      <c r="IM208" s="171"/>
      <c r="IN208" s="171"/>
      <c r="IO208" s="171"/>
      <c r="IP208" s="171"/>
      <c r="IQ208" s="171"/>
      <c r="IR208" s="171"/>
      <c r="IS208" s="171"/>
      <c r="IT208" s="171"/>
      <c r="IU208" s="171"/>
      <c r="IV208" s="171"/>
      <c r="IW208" s="171"/>
      <c r="IX208" s="171"/>
      <c r="IY208" s="171"/>
      <c r="IZ208" s="171"/>
      <c r="JA208" s="171"/>
      <c r="JB208" s="171"/>
      <c r="JC208" s="171"/>
      <c r="JD208" s="171"/>
      <c r="JE208" s="171"/>
      <c r="JF208" s="171"/>
      <c r="JG208" s="171"/>
      <c r="JH208" s="171"/>
      <c r="JI208" s="171"/>
      <c r="JJ208" s="171"/>
      <c r="JK208" s="171"/>
      <c r="JL208" s="171"/>
      <c r="JM208" s="171"/>
      <c r="JN208" s="171"/>
      <c r="JO208" s="171"/>
      <c r="JP208" s="171"/>
      <c r="JQ208" s="171"/>
      <c r="JR208" s="171"/>
      <c r="JS208" s="171"/>
      <c r="JT208" s="171"/>
      <c r="JU208" s="171"/>
      <c r="JV208" s="171"/>
      <c r="JW208" s="171"/>
      <c r="JX208" s="171"/>
      <c r="JY208" s="171"/>
      <c r="JZ208" s="171"/>
      <c r="KA208" s="171"/>
      <c r="KB208" s="171"/>
      <c r="KC208" s="171"/>
      <c r="KD208" s="171"/>
      <c r="KE208" s="171"/>
      <c r="KF208" s="171"/>
      <c r="KG208" s="171"/>
      <c r="KH208" s="171"/>
      <c r="KI208" s="171"/>
      <c r="KJ208" s="171"/>
      <c r="KK208" s="171"/>
      <c r="KL208" s="171"/>
      <c r="KM208" s="171"/>
      <c r="KN208" s="171"/>
      <c r="KO208" s="171"/>
      <c r="KP208" s="171"/>
      <c r="KQ208" s="171"/>
      <c r="KR208" s="171"/>
      <c r="KS208" s="171"/>
    </row>
    <row r="209" spans="1:21" s="127" customFormat="1" x14ac:dyDescent="0.3"/>
    <row r="210" spans="1:21" s="127" customFormat="1" x14ac:dyDescent="0.3"/>
    <row r="211" spans="1:21" s="127" customFormat="1" x14ac:dyDescent="0.3">
      <c r="A211" s="604" t="s">
        <v>414</v>
      </c>
      <c r="B211" s="605"/>
      <c r="C211" s="605"/>
      <c r="D211" s="605"/>
      <c r="E211" s="605"/>
      <c r="F211" s="605"/>
      <c r="G211" s="606"/>
    </row>
    <row r="212" spans="1:21" s="127" customFormat="1" x14ac:dyDescent="0.3">
      <c r="A212" s="602" t="s">
        <v>368</v>
      </c>
      <c r="B212" s="603"/>
      <c r="C212" s="603"/>
      <c r="D212" s="603"/>
      <c r="E212" s="603"/>
      <c r="F212" s="603"/>
      <c r="G212" s="603"/>
      <c r="H212" s="603"/>
      <c r="I212" s="603"/>
      <c r="J212" s="603"/>
      <c r="K212" s="184"/>
    </row>
    <row r="213" spans="1:21" s="127" customFormat="1" x14ac:dyDescent="0.3">
      <c r="A213" s="603"/>
      <c r="B213" s="603"/>
      <c r="C213" s="603"/>
      <c r="D213" s="603"/>
      <c r="E213" s="603"/>
      <c r="F213" s="603"/>
      <c r="G213" s="603"/>
      <c r="H213" s="603"/>
      <c r="I213" s="603"/>
      <c r="J213" s="603"/>
      <c r="K213" s="184"/>
    </row>
    <row r="214" spans="1:21" s="127" customFormat="1" x14ac:dyDescent="0.3">
      <c r="A214" s="610" t="s">
        <v>367</v>
      </c>
      <c r="B214" s="611"/>
      <c r="C214" s="611"/>
      <c r="D214" s="611"/>
      <c r="E214" s="611"/>
      <c r="F214" s="611"/>
      <c r="G214" s="611"/>
      <c r="H214" s="611"/>
      <c r="I214" s="611"/>
      <c r="J214" s="611"/>
      <c r="K214" s="184"/>
    </row>
    <row r="215" spans="1:21" s="127" customFormat="1" x14ac:dyDescent="0.3">
      <c r="A215" s="611"/>
      <c r="B215" s="611"/>
      <c r="C215" s="611"/>
      <c r="D215" s="611"/>
      <c r="E215" s="611"/>
      <c r="F215" s="611"/>
      <c r="G215" s="611"/>
      <c r="H215" s="611"/>
      <c r="I215" s="611"/>
      <c r="J215" s="611"/>
      <c r="K215" s="184"/>
    </row>
    <row r="216" spans="1:21" s="127" customFormat="1" x14ac:dyDescent="0.3">
      <c r="A216" s="611"/>
      <c r="B216" s="611"/>
      <c r="C216" s="611"/>
      <c r="D216" s="611"/>
      <c r="E216" s="611"/>
      <c r="F216" s="611"/>
      <c r="G216" s="611"/>
      <c r="H216" s="611"/>
      <c r="I216" s="611"/>
      <c r="J216" s="611"/>
      <c r="K216" s="184"/>
    </row>
    <row r="217" spans="1:21" s="127" customFormat="1" x14ac:dyDescent="0.3">
      <c r="A217" s="602" t="s">
        <v>347</v>
      </c>
      <c r="B217" s="603"/>
      <c r="C217" s="603"/>
      <c r="D217" s="603"/>
      <c r="E217" s="603"/>
      <c r="F217" s="603"/>
      <c r="G217" s="603"/>
      <c r="H217" s="603"/>
      <c r="I217" s="603"/>
      <c r="J217" s="603"/>
    </row>
    <row r="218" spans="1:21" s="127" customFormat="1" x14ac:dyDescent="0.3">
      <c r="A218" s="603"/>
      <c r="B218" s="603"/>
      <c r="C218" s="603"/>
      <c r="D218" s="603"/>
      <c r="E218" s="603"/>
      <c r="F218" s="603"/>
      <c r="G218" s="603"/>
      <c r="H218" s="603"/>
      <c r="I218" s="603"/>
      <c r="J218" s="603"/>
    </row>
    <row r="219" spans="1:21" s="127" customFormat="1" x14ac:dyDescent="0.3">
      <c r="A219" s="603"/>
      <c r="B219" s="603"/>
      <c r="C219" s="603"/>
      <c r="D219" s="603"/>
      <c r="E219" s="603"/>
      <c r="F219" s="603"/>
      <c r="G219" s="603"/>
      <c r="H219" s="603"/>
      <c r="I219" s="603"/>
      <c r="J219" s="603"/>
    </row>
    <row r="220" spans="1:21" s="127" customFormat="1" x14ac:dyDescent="0.3">
      <c r="A220" s="603"/>
      <c r="B220" s="603"/>
      <c r="C220" s="603"/>
      <c r="D220" s="603"/>
      <c r="E220" s="603"/>
      <c r="F220" s="603"/>
      <c r="G220" s="603"/>
      <c r="H220" s="603"/>
      <c r="I220" s="603"/>
      <c r="J220" s="603"/>
    </row>
    <row r="221" spans="1:21" s="126" customFormat="1" ht="100.8" x14ac:dyDescent="0.3">
      <c r="A221" s="609" t="s">
        <v>325</v>
      </c>
      <c r="B221" s="600" t="s">
        <v>324</v>
      </c>
      <c r="C221" s="600" t="s">
        <v>329</v>
      </c>
      <c r="D221" s="600" t="s">
        <v>326</v>
      </c>
      <c r="E221" s="409" t="s">
        <v>336</v>
      </c>
      <c r="F221" s="600" t="s">
        <v>333</v>
      </c>
      <c r="G221" s="600" t="s">
        <v>346</v>
      </c>
      <c r="H221" s="600" t="s">
        <v>338</v>
      </c>
      <c r="I221" s="600" t="s">
        <v>352</v>
      </c>
      <c r="J221" s="600" t="s">
        <v>351</v>
      </c>
      <c r="K221" s="600" t="s">
        <v>348</v>
      </c>
      <c r="L221" s="598" t="s">
        <v>361</v>
      </c>
      <c r="M221" s="600" t="s">
        <v>452</v>
      </c>
      <c r="N221" s="600" t="s">
        <v>339</v>
      </c>
      <c r="O221" s="600" t="s">
        <v>337</v>
      </c>
      <c r="P221" s="600" t="s">
        <v>365</v>
      </c>
      <c r="Q221" s="600" t="s">
        <v>364</v>
      </c>
      <c r="R221" s="600" t="s">
        <v>362</v>
      </c>
      <c r="S221" s="600" t="s">
        <v>363</v>
      </c>
      <c r="T221" s="185"/>
      <c r="U221" s="185"/>
    </row>
    <row r="222" spans="1:21" s="126" customFormat="1" x14ac:dyDescent="0.3">
      <c r="A222" s="603"/>
      <c r="B222" s="601"/>
      <c r="C222" s="601"/>
      <c r="D222" s="601"/>
      <c r="E222" s="410" t="e">
        <f>(Calculations!D22+Calculations!D36-Inputs!C142-Inputs!C143)/Calculations!D10</f>
        <v>#DIV/0!</v>
      </c>
      <c r="F222" s="601"/>
      <c r="G222" s="601"/>
      <c r="H222" s="601"/>
      <c r="I222" s="601"/>
      <c r="J222" s="601"/>
      <c r="K222" s="601"/>
      <c r="L222" s="599"/>
      <c r="M222" s="601"/>
      <c r="N222" s="601"/>
      <c r="O222" s="601"/>
      <c r="P222" s="601"/>
      <c r="Q222" s="601"/>
      <c r="R222" s="601"/>
      <c r="S222" s="612"/>
      <c r="T222" s="185"/>
      <c r="U222" s="185"/>
    </row>
    <row r="223" spans="1:21" s="127" customFormat="1" x14ac:dyDescent="0.3">
      <c r="A223" s="127" t="str">
        <f>Inputs!A198</f>
        <v>placeholder1 (Lifeline)</v>
      </c>
      <c r="B223" s="411" t="e">
        <f>Calculations!D76</f>
        <v>#DIV/0!</v>
      </c>
      <c r="C223" s="412">
        <f>Inputs!C198</f>
        <v>0</v>
      </c>
      <c r="D223" s="411" t="e">
        <f>C223*B223</f>
        <v>#DIV/0!</v>
      </c>
      <c r="E223" s="411" t="e">
        <f>$E$222*Inputs!G198</f>
        <v>#DIV/0!</v>
      </c>
      <c r="F223" s="413" t="e">
        <f>(B223-E223)/B223</f>
        <v>#DIV/0!</v>
      </c>
      <c r="G223" s="411" t="e">
        <f t="shared" ref="G223:G229" si="51">B223*(1-F223)</f>
        <v>#DIV/0!</v>
      </c>
      <c r="H223" s="411" t="e">
        <f>G223*C223</f>
        <v>#DIV/0!</v>
      </c>
      <c r="I223" s="411" t="e">
        <f>D223-H223</f>
        <v>#DIV/0!</v>
      </c>
      <c r="J223" s="414">
        <v>0.93</v>
      </c>
      <c r="K223" s="411" t="e">
        <f>I223*J223</f>
        <v>#DIV/0!</v>
      </c>
      <c r="L223" s="411" t="e">
        <f>K223/G223</f>
        <v>#DIV/0!</v>
      </c>
      <c r="M223" s="411" t="e">
        <f>C223+L223</f>
        <v>#DIV/0!</v>
      </c>
      <c r="N223" s="411" t="e">
        <f>M223/C223</f>
        <v>#DIV/0!</v>
      </c>
      <c r="O223" s="411" t="e">
        <f>M223*G223</f>
        <v>#DIV/0!</v>
      </c>
      <c r="P223" s="411">
        <f>Inputs!D198</f>
        <v>0</v>
      </c>
      <c r="Q223" s="411" t="e">
        <f>M223*Inputs!B198*12</f>
        <v>#DIV/0!</v>
      </c>
      <c r="R223" s="411"/>
      <c r="S223" s="415"/>
      <c r="T223" s="184"/>
      <c r="U223" s="184"/>
    </row>
    <row r="224" spans="1:21" s="127" customFormat="1" x14ac:dyDescent="0.3">
      <c r="A224" s="127" t="str">
        <f>Inputs!A199</f>
        <v>placeholder2 (Households)</v>
      </c>
      <c r="B224" s="411" t="e">
        <f>Calculations!D77</f>
        <v>#DIV/0!</v>
      </c>
      <c r="C224" s="412">
        <f>Inputs!C199</f>
        <v>0</v>
      </c>
      <c r="D224" s="411" t="e">
        <f t="shared" ref="D224:D229" si="52">C224*B224</f>
        <v>#DIV/0!</v>
      </c>
      <c r="E224" s="411" t="e">
        <f>$E$222*Inputs!G199</f>
        <v>#DIV/0!</v>
      </c>
      <c r="F224" s="413" t="e">
        <f t="shared" ref="F224:F229" si="53">(B224-E224)/B224</f>
        <v>#DIV/0!</v>
      </c>
      <c r="G224" s="411" t="e">
        <f t="shared" si="51"/>
        <v>#DIV/0!</v>
      </c>
      <c r="H224" s="411" t="e">
        <f t="shared" ref="H224:H229" si="54">G224*C224</f>
        <v>#DIV/0!</v>
      </c>
      <c r="I224" s="411" t="e">
        <f t="shared" ref="I224:I229" si="55">D224-H224</f>
        <v>#DIV/0!</v>
      </c>
      <c r="J224" s="414">
        <v>0.93</v>
      </c>
      <c r="K224" s="411" t="e">
        <f t="shared" ref="K224:K229" si="56">I224*J224</f>
        <v>#DIV/0!</v>
      </c>
      <c r="L224" s="411" t="e">
        <f t="shared" ref="L224:L229" si="57">K224/G224</f>
        <v>#DIV/0!</v>
      </c>
      <c r="M224" s="411" t="e">
        <f t="shared" ref="M224:M229" si="58">C224+L224</f>
        <v>#DIV/0!</v>
      </c>
      <c r="N224" s="411" t="e">
        <f t="shared" ref="N224:N230" si="59">M224/C224</f>
        <v>#DIV/0!</v>
      </c>
      <c r="O224" s="411" t="e">
        <f t="shared" ref="O224:O229" si="60">M224*G224</f>
        <v>#DIV/0!</v>
      </c>
      <c r="P224" s="411">
        <f>Inputs!D199</f>
        <v>0</v>
      </c>
      <c r="Q224" s="411" t="e">
        <f>M224*Inputs!B199*12</f>
        <v>#DIV/0!</v>
      </c>
      <c r="R224" s="411"/>
      <c r="S224" s="415"/>
      <c r="T224" s="184"/>
      <c r="U224" s="184"/>
    </row>
    <row r="225" spans="1:21" s="127" customFormat="1" x14ac:dyDescent="0.3">
      <c r="A225" s="127" t="str">
        <f>Inputs!A200</f>
        <v>placeholder3 (Business basic shops for lighting)</v>
      </c>
      <c r="B225" s="411" t="e">
        <f>Calculations!D78</f>
        <v>#DIV/0!</v>
      </c>
      <c r="C225" s="412">
        <f>Inputs!C200</f>
        <v>0</v>
      </c>
      <c r="D225" s="411" t="e">
        <f t="shared" si="52"/>
        <v>#DIV/0!</v>
      </c>
      <c r="E225" s="411" t="e">
        <f>$E$222*Inputs!G200</f>
        <v>#DIV/0!</v>
      </c>
      <c r="F225" s="413" t="e">
        <f t="shared" si="53"/>
        <v>#DIV/0!</v>
      </c>
      <c r="G225" s="411" t="e">
        <f t="shared" si="51"/>
        <v>#DIV/0!</v>
      </c>
      <c r="H225" s="411" t="e">
        <f t="shared" si="54"/>
        <v>#DIV/0!</v>
      </c>
      <c r="I225" s="411" t="e">
        <f t="shared" si="55"/>
        <v>#DIV/0!</v>
      </c>
      <c r="J225" s="414">
        <v>0.93</v>
      </c>
      <c r="K225" s="411" t="e">
        <f t="shared" si="56"/>
        <v>#DIV/0!</v>
      </c>
      <c r="L225" s="411" t="e">
        <f t="shared" si="57"/>
        <v>#DIV/0!</v>
      </c>
      <c r="M225" s="411" t="e">
        <f t="shared" si="58"/>
        <v>#DIV/0!</v>
      </c>
      <c r="N225" s="411" t="e">
        <f t="shared" si="59"/>
        <v>#DIV/0!</v>
      </c>
      <c r="O225" s="411" t="e">
        <f t="shared" si="60"/>
        <v>#DIV/0!</v>
      </c>
      <c r="P225" s="411">
        <f>Inputs!D200</f>
        <v>0</v>
      </c>
      <c r="Q225" s="411" t="e">
        <f>M225*Inputs!B200*12</f>
        <v>#DIV/0!</v>
      </c>
      <c r="R225" s="411"/>
      <c r="S225" s="415"/>
      <c r="T225" s="184"/>
      <c r="U225" s="184"/>
    </row>
    <row r="226" spans="1:21" s="127" customFormat="1" x14ac:dyDescent="0.3">
      <c r="A226" s="127" t="str">
        <f>Inputs!A201</f>
        <v>placeholder4 (Business with appliances like fridges, freezers, etc)</v>
      </c>
      <c r="B226" s="411" t="e">
        <f>Calculations!D79</f>
        <v>#DIV/0!</v>
      </c>
      <c r="C226" s="412">
        <f>Inputs!C201</f>
        <v>0</v>
      </c>
      <c r="D226" s="411" t="e">
        <f t="shared" si="52"/>
        <v>#DIV/0!</v>
      </c>
      <c r="E226" s="411" t="e">
        <f>$E$222*Inputs!G201</f>
        <v>#DIV/0!</v>
      </c>
      <c r="F226" s="413" t="e">
        <f t="shared" si="53"/>
        <v>#DIV/0!</v>
      </c>
      <c r="G226" s="411" t="e">
        <f t="shared" si="51"/>
        <v>#DIV/0!</v>
      </c>
      <c r="H226" s="411" t="e">
        <f t="shared" si="54"/>
        <v>#DIV/0!</v>
      </c>
      <c r="I226" s="411" t="e">
        <f t="shared" si="55"/>
        <v>#DIV/0!</v>
      </c>
      <c r="J226" s="414">
        <v>0.93</v>
      </c>
      <c r="K226" s="411" t="e">
        <f t="shared" si="56"/>
        <v>#DIV/0!</v>
      </c>
      <c r="L226" s="411" t="e">
        <f t="shared" si="57"/>
        <v>#DIV/0!</v>
      </c>
      <c r="M226" s="411" t="e">
        <f t="shared" si="58"/>
        <v>#DIV/0!</v>
      </c>
      <c r="N226" s="411" t="e">
        <f t="shared" si="59"/>
        <v>#DIV/0!</v>
      </c>
      <c r="O226" s="411" t="e">
        <f t="shared" si="60"/>
        <v>#DIV/0!</v>
      </c>
      <c r="P226" s="411">
        <f>Inputs!D201</f>
        <v>0</v>
      </c>
      <c r="Q226" s="411" t="e">
        <f>M226*Inputs!B201*12</f>
        <v>#DIV/0!</v>
      </c>
      <c r="R226" s="411"/>
      <c r="S226" s="415"/>
      <c r="T226" s="184"/>
      <c r="U226" s="184"/>
    </row>
    <row r="227" spans="1:21" s="127" customFormat="1" x14ac:dyDescent="0.3">
      <c r="A227" s="127" t="str">
        <f>Inputs!A202</f>
        <v>placeholder5 (Anchor-Mines/Timber Mills/Procesors, Bank, etc)</v>
      </c>
      <c r="B227" s="411" t="e">
        <f>Calculations!D80</f>
        <v>#DIV/0!</v>
      </c>
      <c r="C227" s="412">
        <f>Inputs!C202</f>
        <v>0</v>
      </c>
      <c r="D227" s="411" t="e">
        <f t="shared" si="52"/>
        <v>#DIV/0!</v>
      </c>
      <c r="E227" s="411" t="e">
        <f>$E$222*Inputs!G202</f>
        <v>#DIV/0!</v>
      </c>
      <c r="F227" s="413" t="e">
        <f t="shared" si="53"/>
        <v>#DIV/0!</v>
      </c>
      <c r="G227" s="411" t="e">
        <f t="shared" si="51"/>
        <v>#DIV/0!</v>
      </c>
      <c r="H227" s="411" t="e">
        <f t="shared" si="54"/>
        <v>#DIV/0!</v>
      </c>
      <c r="I227" s="411" t="e">
        <f t="shared" si="55"/>
        <v>#DIV/0!</v>
      </c>
      <c r="J227" s="414">
        <v>0.93</v>
      </c>
      <c r="K227" s="411" t="e">
        <f t="shared" si="56"/>
        <v>#DIV/0!</v>
      </c>
      <c r="L227" s="411" t="e">
        <f t="shared" si="57"/>
        <v>#DIV/0!</v>
      </c>
      <c r="M227" s="411" t="e">
        <f t="shared" si="58"/>
        <v>#DIV/0!</v>
      </c>
      <c r="N227" s="411" t="e">
        <f t="shared" si="59"/>
        <v>#DIV/0!</v>
      </c>
      <c r="O227" s="411" t="e">
        <f t="shared" si="60"/>
        <v>#DIV/0!</v>
      </c>
      <c r="P227" s="411">
        <f>Inputs!D202</f>
        <v>0</v>
      </c>
      <c r="Q227" s="411" t="e">
        <f>M227*Inputs!B202*12</f>
        <v>#DIV/0!</v>
      </c>
      <c r="R227" s="411"/>
      <c r="S227" s="415"/>
      <c r="T227" s="184"/>
      <c r="U227" s="184"/>
    </row>
    <row r="228" spans="1:21" s="127" customFormat="1" x14ac:dyDescent="0.3">
      <c r="A228" s="127" t="str">
        <f>Inputs!A203</f>
        <v>placeholder6 (Institutions – schools, health centres, admin centres, etc)</v>
      </c>
      <c r="B228" s="411" t="e">
        <f>Calculations!D81</f>
        <v>#DIV/0!</v>
      </c>
      <c r="C228" s="412">
        <f>Inputs!C203</f>
        <v>0</v>
      </c>
      <c r="D228" s="411" t="e">
        <f t="shared" si="52"/>
        <v>#DIV/0!</v>
      </c>
      <c r="E228" s="411" t="e">
        <f>$E$222*Inputs!G203</f>
        <v>#DIV/0!</v>
      </c>
      <c r="F228" s="413" t="e">
        <f t="shared" si="53"/>
        <v>#DIV/0!</v>
      </c>
      <c r="G228" s="411" t="e">
        <f t="shared" si="51"/>
        <v>#DIV/0!</v>
      </c>
      <c r="H228" s="411" t="e">
        <f t="shared" si="54"/>
        <v>#DIV/0!</v>
      </c>
      <c r="I228" s="411" t="e">
        <f t="shared" si="55"/>
        <v>#DIV/0!</v>
      </c>
      <c r="J228" s="414">
        <v>0.93</v>
      </c>
      <c r="K228" s="411" t="e">
        <f t="shared" si="56"/>
        <v>#DIV/0!</v>
      </c>
      <c r="L228" s="411" t="e">
        <f t="shared" si="57"/>
        <v>#DIV/0!</v>
      </c>
      <c r="M228" s="411" t="e">
        <f t="shared" si="58"/>
        <v>#DIV/0!</v>
      </c>
      <c r="N228" s="411" t="e">
        <f t="shared" si="59"/>
        <v>#DIV/0!</v>
      </c>
      <c r="O228" s="411" t="e">
        <f t="shared" si="60"/>
        <v>#DIV/0!</v>
      </c>
      <c r="P228" s="411">
        <f>Inputs!D203</f>
        <v>0</v>
      </c>
      <c r="Q228" s="411" t="e">
        <f>M228*Inputs!B203*12</f>
        <v>#DIV/0!</v>
      </c>
      <c r="R228" s="411"/>
      <c r="S228" s="415"/>
      <c r="T228" s="184"/>
      <c r="U228" s="184"/>
    </row>
    <row r="229" spans="1:21" s="127" customFormat="1" x14ac:dyDescent="0.3">
      <c r="A229" s="127" t="str">
        <f>Inputs!A204</f>
        <v>placeholder7 (Street lighting)</v>
      </c>
      <c r="B229" s="411" t="e">
        <f>Calculations!D82</f>
        <v>#DIV/0!</v>
      </c>
      <c r="C229" s="412">
        <f>Inputs!C204</f>
        <v>0</v>
      </c>
      <c r="D229" s="411" t="e">
        <f t="shared" si="52"/>
        <v>#DIV/0!</v>
      </c>
      <c r="E229" s="411" t="e">
        <f>$E$222*Inputs!G204</f>
        <v>#DIV/0!</v>
      </c>
      <c r="F229" s="413" t="e">
        <f t="shared" si="53"/>
        <v>#DIV/0!</v>
      </c>
      <c r="G229" s="411" t="e">
        <f t="shared" si="51"/>
        <v>#DIV/0!</v>
      </c>
      <c r="H229" s="411" t="e">
        <f t="shared" si="54"/>
        <v>#DIV/0!</v>
      </c>
      <c r="I229" s="411" t="e">
        <f t="shared" si="55"/>
        <v>#DIV/0!</v>
      </c>
      <c r="J229" s="414">
        <v>0.93</v>
      </c>
      <c r="K229" s="411" t="e">
        <f t="shared" si="56"/>
        <v>#DIV/0!</v>
      </c>
      <c r="L229" s="411" t="e">
        <f t="shared" si="57"/>
        <v>#DIV/0!</v>
      </c>
      <c r="M229" s="411" t="e">
        <f t="shared" si="58"/>
        <v>#DIV/0!</v>
      </c>
      <c r="N229" s="411" t="e">
        <f t="shared" si="59"/>
        <v>#DIV/0!</v>
      </c>
      <c r="O229" s="411" t="e">
        <f t="shared" si="60"/>
        <v>#DIV/0!</v>
      </c>
      <c r="P229" s="411">
        <f>Inputs!D204</f>
        <v>0</v>
      </c>
      <c r="Q229" s="411" t="e">
        <f>M229*Inputs!B204*12</f>
        <v>#DIV/0!</v>
      </c>
      <c r="R229" s="411"/>
      <c r="S229" s="415"/>
      <c r="T229" s="184"/>
      <c r="U229" s="184"/>
    </row>
    <row r="230" spans="1:21" s="127" customFormat="1" x14ac:dyDescent="0.3">
      <c r="A230" s="416" t="s">
        <v>366</v>
      </c>
      <c r="B230" s="417" t="e">
        <f>AVERAGE(B223:B229)</f>
        <v>#DIV/0!</v>
      </c>
      <c r="C230" s="418" t="e">
        <f>Inputs!C205/Inputs!B205</f>
        <v>#DIV/0!</v>
      </c>
      <c r="D230" s="417" t="e">
        <f>B230*C230</f>
        <v>#DIV/0!</v>
      </c>
      <c r="E230" s="417" t="e">
        <f>AVERAGE(E223:E229)</f>
        <v>#DIV/0!</v>
      </c>
      <c r="F230" s="419" t="e">
        <f>AVERAGE(F223:F229)</f>
        <v>#DIV/0!</v>
      </c>
      <c r="G230" s="417" t="e">
        <f>AVERAGE(G223:G229)</f>
        <v>#DIV/0!</v>
      </c>
      <c r="H230" s="417"/>
      <c r="I230" s="417"/>
      <c r="J230" s="417">
        <f>AVERAGE(J223:J229)</f>
        <v>0.92999999999999994</v>
      </c>
      <c r="K230" s="420"/>
      <c r="L230" s="421" t="e">
        <f>AVERAGE(L223:L229)</f>
        <v>#DIV/0!</v>
      </c>
      <c r="M230" s="417" t="e">
        <f>SUM(M223:M229)/Inputs!B205</f>
        <v>#DIV/0!</v>
      </c>
      <c r="N230" s="417" t="e">
        <f t="shared" si="59"/>
        <v>#DIV/0!</v>
      </c>
      <c r="O230" s="417" t="e">
        <f>M230*G230</f>
        <v>#DIV/0!</v>
      </c>
      <c r="P230" s="417">
        <f>SUM(P223:P229)</f>
        <v>0</v>
      </c>
      <c r="Q230" s="417" t="e">
        <f>SUM(Q223:Q229)</f>
        <v>#DIV/0!</v>
      </c>
      <c r="R230" s="417">
        <f>Calculations!D12</f>
        <v>0</v>
      </c>
      <c r="S230" s="422" t="e">
        <f>R230-Q230</f>
        <v>#DIV/0!</v>
      </c>
    </row>
    <row r="231" spans="1:21" s="127" customFormat="1" x14ac:dyDescent="0.3">
      <c r="B231" s="184"/>
      <c r="C231" s="184"/>
      <c r="D231" s="184"/>
      <c r="E231" s="184"/>
      <c r="F231" s="184"/>
      <c r="G231" s="184"/>
      <c r="H231" s="184"/>
      <c r="I231" s="184"/>
      <c r="J231" s="184"/>
      <c r="K231" s="184"/>
      <c r="S231" s="186" t="e">
        <f>S230/SUM(M223:M229)</f>
        <v>#DIV/0!</v>
      </c>
    </row>
    <row r="232" spans="1:21" s="127" customFormat="1" x14ac:dyDescent="0.3">
      <c r="A232" s="607" t="s">
        <v>330</v>
      </c>
      <c r="B232" s="608"/>
      <c r="C232" s="608"/>
      <c r="D232" s="184"/>
      <c r="E232" s="184"/>
      <c r="F232" s="184"/>
      <c r="G232" s="184"/>
      <c r="H232" s="184"/>
      <c r="I232" s="184"/>
      <c r="J232" s="184"/>
      <c r="K232" s="184"/>
    </row>
    <row r="233" spans="1:21" s="127" customFormat="1" x14ac:dyDescent="0.3">
      <c r="A233" s="423"/>
      <c r="B233" s="52" t="s">
        <v>47</v>
      </c>
      <c r="C233" s="52" t="s">
        <v>186</v>
      </c>
      <c r="D233" s="184"/>
      <c r="E233" s="184"/>
      <c r="F233" s="184"/>
      <c r="G233" s="184"/>
      <c r="H233" s="184"/>
      <c r="I233" s="184"/>
      <c r="J233" s="184"/>
      <c r="K233" s="184"/>
    </row>
    <row r="234" spans="1:21" s="127" customFormat="1" x14ac:dyDescent="0.3">
      <c r="A234" s="424" t="s">
        <v>328</v>
      </c>
      <c r="B234" s="425"/>
      <c r="C234" s="426" t="e">
        <f>C59</f>
        <v>#DIV/0!</v>
      </c>
      <c r="D234" s="184"/>
      <c r="E234" s="184"/>
      <c r="F234" s="184"/>
      <c r="G234" s="184"/>
      <c r="H234" s="184"/>
      <c r="I234" s="184"/>
      <c r="J234" s="184"/>
      <c r="K234" s="184"/>
    </row>
    <row r="235" spans="1:21" s="127" customFormat="1" x14ac:dyDescent="0.3">
      <c r="A235" s="424" t="s">
        <v>327</v>
      </c>
      <c r="B235" s="425" t="str">
        <f>Inputs!B156</f>
        <v>NGN</v>
      </c>
      <c r="C235" s="426" t="e">
        <f>F230*SUM(Calculations!D37:H37)</f>
        <v>#DIV/0!</v>
      </c>
      <c r="D235" s="127" t="s">
        <v>334</v>
      </c>
      <c r="E235" s="184"/>
      <c r="F235" s="184"/>
      <c r="G235" s="184"/>
      <c r="H235" s="184"/>
      <c r="I235" s="184"/>
      <c r="J235" s="184"/>
      <c r="K235" s="184"/>
    </row>
    <row r="236" spans="1:21" s="127" customFormat="1" x14ac:dyDescent="0.3">
      <c r="B236" s="184"/>
      <c r="C236" s="184"/>
      <c r="D236" s="184"/>
      <c r="E236" s="184"/>
      <c r="F236" s="184"/>
      <c r="G236" s="184"/>
      <c r="H236" s="184"/>
      <c r="I236" s="184"/>
      <c r="J236" s="184"/>
      <c r="K236" s="184"/>
    </row>
    <row r="237" spans="1:21" x14ac:dyDescent="0.3">
      <c r="A237" s="187" t="s">
        <v>360</v>
      </c>
      <c r="B237" s="184"/>
      <c r="C237" s="184"/>
      <c r="D237" s="184"/>
      <c r="E237" s="184"/>
      <c r="F237" s="184"/>
      <c r="G237" s="184"/>
      <c r="H237" s="184"/>
      <c r="I237" s="184"/>
      <c r="J237" s="184"/>
      <c r="K237" s="184"/>
    </row>
    <row r="238" spans="1:21" x14ac:dyDescent="0.3">
      <c r="A238" s="45" t="s">
        <v>344</v>
      </c>
      <c r="B238" s="184"/>
      <c r="C238" s="184"/>
      <c r="D238" s="184"/>
      <c r="E238" s="184"/>
      <c r="F238" s="184"/>
      <c r="G238" s="184"/>
      <c r="H238" s="184"/>
      <c r="I238" s="184"/>
      <c r="J238" s="184"/>
      <c r="K238" s="184"/>
    </row>
    <row r="239" spans="1:21" x14ac:dyDescent="0.3">
      <c r="A239" s="45" t="s">
        <v>332</v>
      </c>
    </row>
    <row r="240" spans="1:21" x14ac:dyDescent="0.3">
      <c r="A240" s="45" t="s">
        <v>331</v>
      </c>
    </row>
    <row r="241" spans="1:1" x14ac:dyDescent="0.3">
      <c r="A241" s="45" t="s">
        <v>345</v>
      </c>
    </row>
    <row r="242" spans="1:1" x14ac:dyDescent="0.3">
      <c r="A242" s="45" t="s">
        <v>335</v>
      </c>
    </row>
    <row r="243" spans="1:1" x14ac:dyDescent="0.3">
      <c r="A243" s="45" t="s">
        <v>343</v>
      </c>
    </row>
    <row r="244" spans="1:1" x14ac:dyDescent="0.3">
      <c r="A244" s="45" t="s">
        <v>340</v>
      </c>
    </row>
    <row r="245" spans="1:1" x14ac:dyDescent="0.3">
      <c r="A245" s="45" t="s">
        <v>341</v>
      </c>
    </row>
    <row r="246" spans="1:1" x14ac:dyDescent="0.3">
      <c r="A246" s="183" t="s">
        <v>349</v>
      </c>
    </row>
    <row r="247" spans="1:1" x14ac:dyDescent="0.3">
      <c r="A247" s="45" t="s">
        <v>350</v>
      </c>
    </row>
    <row r="248" spans="1:1" x14ac:dyDescent="0.3">
      <c r="A248" s="45" t="s">
        <v>359</v>
      </c>
    </row>
  </sheetData>
  <sheetProtection algorithmName="SHA-512" hashValue="tSqV23X8qjXujUCRpniJr5r42gnerIuN0OdEv61EHL0Y4AjAEUR30/kh9LqiJPCJaO0vv1M+QR9nrcAH9vhq8g==" saltValue="uZEFK+Mcb3DxQzhfErKSiA==" spinCount="100000" sheet="1" formatCells="0" formatColumns="0" formatRows="0"/>
  <mergeCells count="53">
    <mergeCell ref="A190:A191"/>
    <mergeCell ref="A168:A169"/>
    <mergeCell ref="A170:A171"/>
    <mergeCell ref="A178:A179"/>
    <mergeCell ref="A180:A181"/>
    <mergeCell ref="A182:A183"/>
    <mergeCell ref="S221:S222"/>
    <mergeCell ref="A19:A20"/>
    <mergeCell ref="A7:A8"/>
    <mergeCell ref="A9:A10"/>
    <mergeCell ref="A11:A12"/>
    <mergeCell ref="A13:A14"/>
    <mergeCell ref="A15:A16"/>
    <mergeCell ref="A17:A18"/>
    <mergeCell ref="A158:A159"/>
    <mergeCell ref="A160:A161"/>
    <mergeCell ref="A162:A163"/>
    <mergeCell ref="A164:A165"/>
    <mergeCell ref="A166:A167"/>
    <mergeCell ref="A184:A185"/>
    <mergeCell ref="A186:A187"/>
    <mergeCell ref="A188:A189"/>
    <mergeCell ref="A212:J213"/>
    <mergeCell ref="A193:G193"/>
    <mergeCell ref="A211:G211"/>
    <mergeCell ref="A232:C232"/>
    <mergeCell ref="B221:B222"/>
    <mergeCell ref="C221:C222"/>
    <mergeCell ref="D221:D222"/>
    <mergeCell ref="A221:A222"/>
    <mergeCell ref="F221:F222"/>
    <mergeCell ref="J221:J222"/>
    <mergeCell ref="A214:J215"/>
    <mergeCell ref="A216:J216"/>
    <mergeCell ref="A217:J220"/>
    <mergeCell ref="G221:G222"/>
    <mergeCell ref="H221:H222"/>
    <mergeCell ref="I221:I222"/>
    <mergeCell ref="L221:L222"/>
    <mergeCell ref="M221:M222"/>
    <mergeCell ref="K221:K222"/>
    <mergeCell ref="R221:R222"/>
    <mergeCell ref="Q221:Q222"/>
    <mergeCell ref="P221:P222"/>
    <mergeCell ref="N221:N222"/>
    <mergeCell ref="O221:O222"/>
    <mergeCell ref="A205:A206"/>
    <mergeCell ref="A207:A208"/>
    <mergeCell ref="A195:A196"/>
    <mergeCell ref="A197:A198"/>
    <mergeCell ref="A199:A200"/>
    <mergeCell ref="A201:A202"/>
    <mergeCell ref="A203:A204"/>
  </mergeCells>
  <dataValidations count="1">
    <dataValidation type="list" allowBlank="1" showInputMessage="1" showErrorMessage="1" sqref="A194 A157 A177 A6" xr:uid="{70BE41C2-C66B-4D33-B409-9C897FE8A1B6}">
      <formula1>"kWh/PAYG/Energy-based tariff,Tariffs is a % of some base tariff,Flat rate tariff (Revenues/No. of Customers),Fixed charge+kWh charge tariff,LCOE,Time of Use(ToU) tariff,Power/Load-based tariff,Other-please specify"</formula1>
    </dataValidation>
  </dataValidations>
  <pageMargins left="0.70866141732283472" right="0.70866141732283472" top="0.74803149606299213" bottom="0.74803149606299213" header="0.31496062992125984" footer="0.31496062992125984"/>
  <pageSetup fitToHeight="0" orientation="landscape" horizontalDpi="4294967295" verticalDpi="4294967295" r:id="rId1"/>
  <rowBreaks count="5" manualBreakCount="5">
    <brk id="48" max="16383" man="1"/>
    <brk id="81" max="16383" man="1"/>
    <brk id="108" max="16383" man="1"/>
    <brk id="134" max="16383" man="1"/>
    <brk id="154" max="16383" man="1"/>
  </rowBreaks>
  <ignoredErrors>
    <ignoredError sqref="B20 B8 B10 B18 B16 B14 B12 B9 B13 B15 B17 B19 B11 M230 D54:G54" formula="1"/>
    <ignoredError sqref="C137"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E38-FEE0-4827-84CB-0369D4394106}">
  <sheetPr>
    <tabColor theme="8" tint="-0.499984740745262"/>
  </sheetPr>
  <dimension ref="A1:BL270"/>
  <sheetViews>
    <sheetView zoomScale="93" workbookViewId="0">
      <pane xSplit="2" ySplit="4" topLeftCell="C5" activePane="bottomRight" state="frozen"/>
      <selection activeCell="E166" sqref="E166"/>
      <selection pane="topRight" activeCell="E166" sqref="E166"/>
      <selection pane="bottomLeft" activeCell="E166" sqref="E166"/>
      <selection pane="bottomRight"/>
    </sheetView>
  </sheetViews>
  <sheetFormatPr defaultColWidth="9.21875" defaultRowHeight="14.4" x14ac:dyDescent="0.3"/>
  <cols>
    <col min="1" max="1" width="54.21875" style="45" customWidth="1"/>
    <col min="2" max="2" width="10.21875" style="56" bestFit="1" customWidth="1"/>
    <col min="3" max="3" width="11.77734375" style="45" bestFit="1" customWidth="1"/>
    <col min="4" max="9" width="12" style="45" bestFit="1" customWidth="1"/>
    <col min="10" max="10" width="12" style="57" bestFit="1" customWidth="1"/>
    <col min="11" max="22" width="12" style="45" bestFit="1" customWidth="1"/>
    <col min="23" max="23" width="2.21875" style="45" bestFit="1" customWidth="1"/>
    <col min="24" max="24" width="10.21875" style="45" bestFit="1" customWidth="1"/>
    <col min="25" max="25" width="91.44140625" style="45" bestFit="1" customWidth="1"/>
    <col min="26" max="16384" width="9.21875" style="45"/>
  </cols>
  <sheetData>
    <row r="1" spans="1:64" ht="18" x14ac:dyDescent="0.35">
      <c r="A1" s="43" t="s">
        <v>412</v>
      </c>
      <c r="B1" s="428"/>
      <c r="C1" s="44"/>
      <c r="D1" s="47"/>
    </row>
    <row r="2" spans="1:64" x14ac:dyDescent="0.3">
      <c r="A2" s="47"/>
      <c r="B2" s="428"/>
      <c r="C2" s="429" t="s">
        <v>49</v>
      </c>
      <c r="D2" s="47"/>
    </row>
    <row r="3" spans="1:64" s="49" customFormat="1" ht="15.6" x14ac:dyDescent="0.3">
      <c r="A3" s="48" t="s">
        <v>132</v>
      </c>
      <c r="B3" s="430"/>
      <c r="C3" s="429" t="s">
        <v>51</v>
      </c>
      <c r="D3" s="429" t="s">
        <v>52</v>
      </c>
      <c r="E3" s="429" t="s">
        <v>53</v>
      </c>
      <c r="F3" s="429" t="s">
        <v>54</v>
      </c>
      <c r="G3" s="429" t="s">
        <v>55</v>
      </c>
      <c r="H3" s="429" t="s">
        <v>56</v>
      </c>
      <c r="I3" s="429" t="s">
        <v>57</v>
      </c>
      <c r="J3" s="429" t="s">
        <v>58</v>
      </c>
      <c r="K3" s="429" t="s">
        <v>59</v>
      </c>
      <c r="L3" s="429" t="s">
        <v>60</v>
      </c>
      <c r="M3" s="429" t="s">
        <v>61</v>
      </c>
      <c r="N3" s="429" t="s">
        <v>62</v>
      </c>
      <c r="O3" s="429" t="s">
        <v>63</v>
      </c>
      <c r="P3" s="429" t="s">
        <v>64</v>
      </c>
      <c r="Q3" s="429" t="s">
        <v>65</v>
      </c>
      <c r="R3" s="429" t="s">
        <v>66</v>
      </c>
      <c r="S3" s="429" t="s">
        <v>67</v>
      </c>
      <c r="T3" s="429" t="s">
        <v>68</v>
      </c>
      <c r="U3" s="429" t="s">
        <v>69</v>
      </c>
      <c r="V3" s="429" t="s">
        <v>70</v>
      </c>
      <c r="W3" s="429"/>
      <c r="X3" s="429" t="s">
        <v>75</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x14ac:dyDescent="0.3">
      <c r="A4" s="52"/>
      <c r="B4" s="52" t="s">
        <v>47</v>
      </c>
      <c r="C4" s="64" t="s">
        <v>49</v>
      </c>
      <c r="D4" s="57"/>
      <c r="E4" s="57"/>
      <c r="F4" s="57"/>
      <c r="G4" s="57"/>
      <c r="H4" s="57"/>
      <c r="I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row>
    <row r="5" spans="1:64" x14ac:dyDescent="0.3">
      <c r="A5" s="55" t="s">
        <v>115</v>
      </c>
      <c r="B5" s="5" t="s">
        <v>230</v>
      </c>
      <c r="C5" s="4"/>
      <c r="D5" s="4"/>
      <c r="E5" s="4"/>
      <c r="F5" s="4"/>
      <c r="G5" s="4"/>
      <c r="H5" s="4"/>
      <c r="I5" s="4"/>
      <c r="J5" s="4"/>
      <c r="K5" s="4"/>
      <c r="L5" s="4"/>
      <c r="M5" s="4"/>
      <c r="N5" s="4"/>
      <c r="O5" s="4"/>
      <c r="P5" s="4"/>
      <c r="Q5" s="4"/>
      <c r="R5" s="4"/>
      <c r="S5" s="4"/>
      <c r="T5" s="4"/>
      <c r="U5" s="4"/>
      <c r="V5" s="4"/>
      <c r="W5" s="57"/>
      <c r="X5" s="8">
        <f>SUM(C5:V5)</f>
        <v>0</v>
      </c>
      <c r="Z5" s="57"/>
      <c r="AA5" s="57"/>
      <c r="AB5" s="57"/>
      <c r="AC5" s="57"/>
      <c r="AD5" s="57"/>
      <c r="AE5" s="56"/>
      <c r="AF5" s="56"/>
      <c r="AG5" s="56"/>
      <c r="AH5" s="57"/>
      <c r="AI5" s="57"/>
      <c r="AJ5" s="57"/>
      <c r="AK5" s="57"/>
      <c r="AL5" s="57"/>
      <c r="AM5" s="57"/>
      <c r="AN5" s="57"/>
      <c r="AO5" s="57"/>
      <c r="AP5" s="57"/>
      <c r="AQ5" s="57"/>
    </row>
    <row r="6" spans="1:64" x14ac:dyDescent="0.3">
      <c r="A6" s="55" t="s">
        <v>232</v>
      </c>
      <c r="B6" s="5" t="s">
        <v>85</v>
      </c>
      <c r="C6" s="128">
        <f>365*24</f>
        <v>8760</v>
      </c>
      <c r="D6" s="128">
        <f t="shared" ref="D6:X6" si="0">365*24</f>
        <v>8760</v>
      </c>
      <c r="E6" s="128">
        <f t="shared" si="0"/>
        <v>8760</v>
      </c>
      <c r="F6" s="128">
        <f t="shared" si="0"/>
        <v>8760</v>
      </c>
      <c r="G6" s="128">
        <f t="shared" si="0"/>
        <v>8760</v>
      </c>
      <c r="H6" s="128">
        <f t="shared" si="0"/>
        <v>8760</v>
      </c>
      <c r="I6" s="128">
        <f t="shared" si="0"/>
        <v>8760</v>
      </c>
      <c r="J6" s="128">
        <f t="shared" si="0"/>
        <v>8760</v>
      </c>
      <c r="K6" s="128">
        <f t="shared" si="0"/>
        <v>8760</v>
      </c>
      <c r="L6" s="128">
        <f t="shared" si="0"/>
        <v>8760</v>
      </c>
      <c r="M6" s="128">
        <f t="shared" si="0"/>
        <v>8760</v>
      </c>
      <c r="N6" s="128">
        <f t="shared" si="0"/>
        <v>8760</v>
      </c>
      <c r="O6" s="128">
        <f t="shared" si="0"/>
        <v>8760</v>
      </c>
      <c r="P6" s="128">
        <f t="shared" si="0"/>
        <v>8760</v>
      </c>
      <c r="Q6" s="128">
        <f t="shared" si="0"/>
        <v>8760</v>
      </c>
      <c r="R6" s="128">
        <f t="shared" si="0"/>
        <v>8760</v>
      </c>
      <c r="S6" s="128">
        <f t="shared" si="0"/>
        <v>8760</v>
      </c>
      <c r="T6" s="128">
        <f t="shared" si="0"/>
        <v>8760</v>
      </c>
      <c r="U6" s="128">
        <f t="shared" si="0"/>
        <v>8760</v>
      </c>
      <c r="V6" s="128">
        <f t="shared" si="0"/>
        <v>8760</v>
      </c>
      <c r="W6"/>
      <c r="X6" s="128">
        <f t="shared" si="0"/>
        <v>8760</v>
      </c>
      <c r="AE6" s="46"/>
      <c r="AF6" s="46"/>
      <c r="AG6" s="46"/>
    </row>
    <row r="7" spans="1:64" x14ac:dyDescent="0.3">
      <c r="A7" s="55" t="s">
        <v>82</v>
      </c>
      <c r="B7" s="5" t="s">
        <v>83</v>
      </c>
      <c r="C7" s="6"/>
      <c r="D7" s="6"/>
      <c r="E7" s="6"/>
      <c r="F7" s="6"/>
      <c r="G7" s="6"/>
      <c r="H7" s="6"/>
      <c r="I7" s="6"/>
      <c r="J7" s="6"/>
      <c r="K7" s="6"/>
      <c r="L7" s="6"/>
      <c r="M7" s="6"/>
      <c r="N7" s="6"/>
      <c r="O7" s="6"/>
      <c r="P7" s="6"/>
      <c r="Q7" s="6"/>
      <c r="R7" s="6"/>
      <c r="S7" s="6"/>
      <c r="T7" s="6"/>
      <c r="U7" s="6"/>
      <c r="V7" s="6"/>
      <c r="W7" s="57"/>
      <c r="X7" s="427" t="e">
        <f>SUMPRODUCT(C5:V5,C7:V7)/SUM(C5:V5)</f>
        <v>#DIV/0!</v>
      </c>
      <c r="Z7" s="57"/>
      <c r="AA7" s="57"/>
      <c r="AB7" s="57"/>
      <c r="AC7" s="57"/>
      <c r="AD7" s="57"/>
      <c r="AE7" s="56"/>
      <c r="AF7" s="56"/>
      <c r="AG7" s="56"/>
      <c r="AH7" s="57"/>
      <c r="AI7" s="57"/>
      <c r="AJ7" s="57"/>
      <c r="AK7" s="57"/>
      <c r="AL7" s="57"/>
      <c r="AM7" s="57"/>
      <c r="AN7" s="57"/>
      <c r="AO7" s="57"/>
      <c r="AP7" s="57"/>
      <c r="AQ7" s="57"/>
    </row>
    <row r="8" spans="1:64" x14ac:dyDescent="0.3">
      <c r="A8" s="55" t="s">
        <v>231</v>
      </c>
      <c r="B8" s="5" t="s">
        <v>86</v>
      </c>
      <c r="C8" s="128">
        <f>IF($B$5="kWp",C5*C6*C7,C5*C6*C7*1000)</f>
        <v>0</v>
      </c>
      <c r="D8" s="128">
        <f t="shared" ref="D8:V8" si="1">IF($B$5="kWp",D5*D6*D7,D5*D6*D7*1000)</f>
        <v>0</v>
      </c>
      <c r="E8" s="128">
        <f t="shared" si="1"/>
        <v>0</v>
      </c>
      <c r="F8" s="128">
        <f t="shared" si="1"/>
        <v>0</v>
      </c>
      <c r="G8" s="128">
        <f t="shared" si="1"/>
        <v>0</v>
      </c>
      <c r="H8" s="128">
        <f t="shared" si="1"/>
        <v>0</v>
      </c>
      <c r="I8" s="128">
        <f t="shared" si="1"/>
        <v>0</v>
      </c>
      <c r="J8" s="128">
        <f t="shared" si="1"/>
        <v>0</v>
      </c>
      <c r="K8" s="128">
        <f t="shared" si="1"/>
        <v>0</v>
      </c>
      <c r="L8" s="128">
        <f t="shared" si="1"/>
        <v>0</v>
      </c>
      <c r="M8" s="128">
        <f t="shared" si="1"/>
        <v>0</v>
      </c>
      <c r="N8" s="128">
        <f t="shared" si="1"/>
        <v>0</v>
      </c>
      <c r="O8" s="128">
        <f t="shared" si="1"/>
        <v>0</v>
      </c>
      <c r="P8" s="128">
        <f t="shared" si="1"/>
        <v>0</v>
      </c>
      <c r="Q8" s="128">
        <f t="shared" si="1"/>
        <v>0</v>
      </c>
      <c r="R8" s="128">
        <f t="shared" si="1"/>
        <v>0</v>
      </c>
      <c r="S8" s="128">
        <f t="shared" si="1"/>
        <v>0</v>
      </c>
      <c r="T8" s="128">
        <f t="shared" si="1"/>
        <v>0</v>
      </c>
      <c r="U8" s="128">
        <f t="shared" si="1"/>
        <v>0</v>
      </c>
      <c r="V8" s="128">
        <f t="shared" si="1"/>
        <v>0</v>
      </c>
      <c r="W8"/>
      <c r="X8" s="128">
        <f>SUM(C8:V8)</f>
        <v>0</v>
      </c>
      <c r="AE8" s="46"/>
      <c r="AF8" s="46"/>
      <c r="AG8" s="46"/>
    </row>
    <row r="9" spans="1:64" x14ac:dyDescent="0.3">
      <c r="A9" s="55" t="s">
        <v>84</v>
      </c>
      <c r="B9" s="5" t="s">
        <v>83</v>
      </c>
      <c r="C9" s="6">
        <v>0.95</v>
      </c>
      <c r="D9" s="6">
        <f>C9</f>
        <v>0.95</v>
      </c>
      <c r="E9" s="6">
        <f t="shared" ref="E9:V13" si="2">D9</f>
        <v>0.95</v>
      </c>
      <c r="F9" s="6">
        <f t="shared" si="2"/>
        <v>0.95</v>
      </c>
      <c r="G9" s="6">
        <f t="shared" si="2"/>
        <v>0.95</v>
      </c>
      <c r="H9" s="6">
        <f t="shared" si="2"/>
        <v>0.95</v>
      </c>
      <c r="I9" s="6">
        <f t="shared" si="2"/>
        <v>0.95</v>
      </c>
      <c r="J9" s="6">
        <f t="shared" si="2"/>
        <v>0.95</v>
      </c>
      <c r="K9" s="6">
        <f t="shared" si="2"/>
        <v>0.95</v>
      </c>
      <c r="L9" s="6">
        <f t="shared" si="2"/>
        <v>0.95</v>
      </c>
      <c r="M9" s="6">
        <f t="shared" si="2"/>
        <v>0.95</v>
      </c>
      <c r="N9" s="6">
        <f t="shared" si="2"/>
        <v>0.95</v>
      </c>
      <c r="O9" s="6">
        <f t="shared" si="2"/>
        <v>0.95</v>
      </c>
      <c r="P9" s="6">
        <f t="shared" si="2"/>
        <v>0.95</v>
      </c>
      <c r="Q9" s="6">
        <f t="shared" si="2"/>
        <v>0.95</v>
      </c>
      <c r="R9" s="6">
        <f t="shared" si="2"/>
        <v>0.95</v>
      </c>
      <c r="S9" s="6">
        <f t="shared" si="2"/>
        <v>0.95</v>
      </c>
      <c r="T9" s="6">
        <f t="shared" si="2"/>
        <v>0.95</v>
      </c>
      <c r="U9" s="6">
        <f t="shared" si="2"/>
        <v>0.95</v>
      </c>
      <c r="V9" s="6">
        <f t="shared" si="2"/>
        <v>0.95</v>
      </c>
      <c r="X9" s="427">
        <f>AVERAGE(C9:V9)</f>
        <v>0.94999999999999962</v>
      </c>
      <c r="AE9" s="46"/>
      <c r="AF9" s="46"/>
      <c r="AG9" s="46"/>
    </row>
    <row r="10" spans="1:64" x14ac:dyDescent="0.3">
      <c r="A10" s="55" t="s">
        <v>130</v>
      </c>
      <c r="B10" s="5" t="s">
        <v>86</v>
      </c>
      <c r="C10" s="128">
        <f>C8*C9</f>
        <v>0</v>
      </c>
      <c r="D10" s="128">
        <f t="shared" ref="D10:X10" si="3">D8*D9</f>
        <v>0</v>
      </c>
      <c r="E10" s="128">
        <f t="shared" si="3"/>
        <v>0</v>
      </c>
      <c r="F10" s="128">
        <f t="shared" si="3"/>
        <v>0</v>
      </c>
      <c r="G10" s="128">
        <f t="shared" si="3"/>
        <v>0</v>
      </c>
      <c r="H10" s="128">
        <f t="shared" si="3"/>
        <v>0</v>
      </c>
      <c r="I10" s="128">
        <f t="shared" si="3"/>
        <v>0</v>
      </c>
      <c r="J10" s="128">
        <f t="shared" si="3"/>
        <v>0</v>
      </c>
      <c r="K10" s="128">
        <f t="shared" si="3"/>
        <v>0</v>
      </c>
      <c r="L10" s="128">
        <f t="shared" si="3"/>
        <v>0</v>
      </c>
      <c r="M10" s="128">
        <f t="shared" si="3"/>
        <v>0</v>
      </c>
      <c r="N10" s="128">
        <f t="shared" si="3"/>
        <v>0</v>
      </c>
      <c r="O10" s="128">
        <f t="shared" si="3"/>
        <v>0</v>
      </c>
      <c r="P10" s="128">
        <f t="shared" si="3"/>
        <v>0</v>
      </c>
      <c r="Q10" s="128">
        <f t="shared" si="3"/>
        <v>0</v>
      </c>
      <c r="R10" s="128">
        <f t="shared" si="3"/>
        <v>0</v>
      </c>
      <c r="S10" s="128">
        <f t="shared" si="3"/>
        <v>0</v>
      </c>
      <c r="T10" s="128">
        <f t="shared" si="3"/>
        <v>0</v>
      </c>
      <c r="U10" s="128">
        <f t="shared" si="3"/>
        <v>0</v>
      </c>
      <c r="V10" s="128">
        <f t="shared" si="3"/>
        <v>0</v>
      </c>
      <c r="W10"/>
      <c r="X10" s="128">
        <f t="shared" si="3"/>
        <v>0</v>
      </c>
      <c r="AE10" s="46"/>
      <c r="AF10" s="46"/>
      <c r="AG10" s="46"/>
    </row>
    <row r="11" spans="1:64" x14ac:dyDescent="0.3">
      <c r="A11" s="55" t="s">
        <v>501</v>
      </c>
      <c r="B11" s="5" t="s">
        <v>83</v>
      </c>
      <c r="C11" s="6">
        <v>0.04</v>
      </c>
      <c r="D11" s="6">
        <f>C11</f>
        <v>0.04</v>
      </c>
      <c r="E11" s="6">
        <f t="shared" si="2"/>
        <v>0.04</v>
      </c>
      <c r="F11" s="6">
        <f t="shared" si="2"/>
        <v>0.04</v>
      </c>
      <c r="G11" s="6">
        <f t="shared" si="2"/>
        <v>0.04</v>
      </c>
      <c r="H11" s="6">
        <f t="shared" si="2"/>
        <v>0.04</v>
      </c>
      <c r="I11" s="6">
        <f t="shared" si="2"/>
        <v>0.04</v>
      </c>
      <c r="J11" s="6">
        <f t="shared" si="2"/>
        <v>0.04</v>
      </c>
      <c r="K11" s="6">
        <f t="shared" si="2"/>
        <v>0.04</v>
      </c>
      <c r="L11" s="6">
        <f t="shared" si="2"/>
        <v>0.04</v>
      </c>
      <c r="M11" s="6">
        <f t="shared" si="2"/>
        <v>0.04</v>
      </c>
      <c r="N11" s="6">
        <f t="shared" si="2"/>
        <v>0.04</v>
      </c>
      <c r="O11" s="6">
        <f t="shared" si="2"/>
        <v>0.04</v>
      </c>
      <c r="P11" s="6">
        <f t="shared" si="2"/>
        <v>0.04</v>
      </c>
      <c r="Q11" s="6">
        <f t="shared" si="2"/>
        <v>0.04</v>
      </c>
      <c r="R11" s="6">
        <f t="shared" si="2"/>
        <v>0.04</v>
      </c>
      <c r="S11" s="6">
        <f t="shared" si="2"/>
        <v>0.04</v>
      </c>
      <c r="T11" s="6">
        <f t="shared" si="2"/>
        <v>0.04</v>
      </c>
      <c r="U11" s="6">
        <f t="shared" si="2"/>
        <v>0.04</v>
      </c>
      <c r="V11" s="6">
        <f t="shared" si="2"/>
        <v>0.04</v>
      </c>
      <c r="X11" s="427" t="e">
        <f>SUMPRODUCT(C5:V5,C11:V11)/SUM(C5:V5)</f>
        <v>#DIV/0!</v>
      </c>
      <c r="AE11" s="46"/>
      <c r="AF11" s="46"/>
      <c r="AG11" s="46"/>
    </row>
    <row r="12" spans="1:64" x14ac:dyDescent="0.3">
      <c r="A12" s="55" t="s">
        <v>504</v>
      </c>
      <c r="B12" s="5" t="s">
        <v>86</v>
      </c>
      <c r="C12" s="128">
        <f>C10*(1-C11)</f>
        <v>0</v>
      </c>
      <c r="D12" s="128">
        <f t="shared" ref="D12:X12" si="4">D10*(1-D11)</f>
        <v>0</v>
      </c>
      <c r="E12" s="128">
        <f t="shared" si="4"/>
        <v>0</v>
      </c>
      <c r="F12" s="128">
        <f t="shared" si="4"/>
        <v>0</v>
      </c>
      <c r="G12" s="128">
        <f t="shared" si="4"/>
        <v>0</v>
      </c>
      <c r="H12" s="128">
        <f t="shared" si="4"/>
        <v>0</v>
      </c>
      <c r="I12" s="128">
        <f t="shared" si="4"/>
        <v>0</v>
      </c>
      <c r="J12" s="128">
        <f t="shared" si="4"/>
        <v>0</v>
      </c>
      <c r="K12" s="128">
        <f t="shared" si="4"/>
        <v>0</v>
      </c>
      <c r="L12" s="128">
        <f t="shared" si="4"/>
        <v>0</v>
      </c>
      <c r="M12" s="128">
        <f t="shared" si="4"/>
        <v>0</v>
      </c>
      <c r="N12" s="128">
        <f t="shared" si="4"/>
        <v>0</v>
      </c>
      <c r="O12" s="128">
        <f t="shared" si="4"/>
        <v>0</v>
      </c>
      <c r="P12" s="128">
        <f t="shared" si="4"/>
        <v>0</v>
      </c>
      <c r="Q12" s="128">
        <f t="shared" si="4"/>
        <v>0</v>
      </c>
      <c r="R12" s="128">
        <f t="shared" si="4"/>
        <v>0</v>
      </c>
      <c r="S12" s="128">
        <f t="shared" si="4"/>
        <v>0</v>
      </c>
      <c r="T12" s="128">
        <f t="shared" si="4"/>
        <v>0</v>
      </c>
      <c r="U12" s="128">
        <f t="shared" si="4"/>
        <v>0</v>
      </c>
      <c r="V12" s="128">
        <f t="shared" si="4"/>
        <v>0</v>
      </c>
      <c r="W12"/>
      <c r="X12" s="128" t="e">
        <f t="shared" si="4"/>
        <v>#DIV/0!</v>
      </c>
      <c r="AE12" s="46"/>
      <c r="AF12" s="46"/>
      <c r="AG12" s="46"/>
    </row>
    <row r="13" spans="1:64" x14ac:dyDescent="0.3">
      <c r="A13" s="55" t="s">
        <v>88</v>
      </c>
      <c r="B13" s="5" t="s">
        <v>83</v>
      </c>
      <c r="C13" s="7">
        <v>0.15</v>
      </c>
      <c r="D13" s="6">
        <f>C13</f>
        <v>0.15</v>
      </c>
      <c r="E13" s="6">
        <f t="shared" si="2"/>
        <v>0.15</v>
      </c>
      <c r="F13" s="6">
        <f t="shared" si="2"/>
        <v>0.15</v>
      </c>
      <c r="G13" s="6">
        <f t="shared" si="2"/>
        <v>0.15</v>
      </c>
      <c r="H13" s="6">
        <f t="shared" si="2"/>
        <v>0.15</v>
      </c>
      <c r="I13" s="6">
        <f t="shared" si="2"/>
        <v>0.15</v>
      </c>
      <c r="J13" s="6">
        <f t="shared" si="2"/>
        <v>0.15</v>
      </c>
      <c r="K13" s="6">
        <f t="shared" si="2"/>
        <v>0.15</v>
      </c>
      <c r="L13" s="6">
        <f t="shared" si="2"/>
        <v>0.15</v>
      </c>
      <c r="M13" s="6">
        <f t="shared" si="2"/>
        <v>0.15</v>
      </c>
      <c r="N13" s="6">
        <f t="shared" si="2"/>
        <v>0.15</v>
      </c>
      <c r="O13" s="6">
        <f t="shared" si="2"/>
        <v>0.15</v>
      </c>
      <c r="P13" s="6">
        <f t="shared" si="2"/>
        <v>0.15</v>
      </c>
      <c r="Q13" s="6">
        <f t="shared" si="2"/>
        <v>0.15</v>
      </c>
      <c r="R13" s="6">
        <f t="shared" si="2"/>
        <v>0.15</v>
      </c>
      <c r="S13" s="6">
        <f t="shared" si="2"/>
        <v>0.15</v>
      </c>
      <c r="T13" s="6">
        <f t="shared" si="2"/>
        <v>0.15</v>
      </c>
      <c r="U13" s="6">
        <f t="shared" si="2"/>
        <v>0.15</v>
      </c>
      <c r="V13" s="6">
        <f t="shared" si="2"/>
        <v>0.15</v>
      </c>
      <c r="X13" s="427">
        <f>AVERAGE(C13:V13)</f>
        <v>0.14999999999999997</v>
      </c>
      <c r="AE13" s="46"/>
      <c r="AF13" s="46"/>
      <c r="AG13" s="46"/>
    </row>
    <row r="14" spans="1:64" x14ac:dyDescent="0.3">
      <c r="A14" s="55" t="s">
        <v>131</v>
      </c>
      <c r="B14" s="5" t="s">
        <v>86</v>
      </c>
      <c r="C14" s="129">
        <f>C12*(1-C13)</f>
        <v>0</v>
      </c>
      <c r="D14" s="129">
        <f t="shared" ref="D14:X14" si="5">D12*(1-D13)</f>
        <v>0</v>
      </c>
      <c r="E14" s="129">
        <f t="shared" si="5"/>
        <v>0</v>
      </c>
      <c r="F14" s="129">
        <f t="shared" si="5"/>
        <v>0</v>
      </c>
      <c r="G14" s="129">
        <f t="shared" si="5"/>
        <v>0</v>
      </c>
      <c r="H14" s="129">
        <f t="shared" si="5"/>
        <v>0</v>
      </c>
      <c r="I14" s="129">
        <f t="shared" si="5"/>
        <v>0</v>
      </c>
      <c r="J14" s="129">
        <f t="shared" si="5"/>
        <v>0</v>
      </c>
      <c r="K14" s="129">
        <f t="shared" si="5"/>
        <v>0</v>
      </c>
      <c r="L14" s="129">
        <f t="shared" si="5"/>
        <v>0</v>
      </c>
      <c r="M14" s="129">
        <f t="shared" si="5"/>
        <v>0</v>
      </c>
      <c r="N14" s="129">
        <f t="shared" si="5"/>
        <v>0</v>
      </c>
      <c r="O14" s="129">
        <f t="shared" si="5"/>
        <v>0</v>
      </c>
      <c r="P14" s="129">
        <f t="shared" si="5"/>
        <v>0</v>
      </c>
      <c r="Q14" s="129">
        <f t="shared" si="5"/>
        <v>0</v>
      </c>
      <c r="R14" s="129">
        <f t="shared" si="5"/>
        <v>0</v>
      </c>
      <c r="S14" s="129">
        <f t="shared" si="5"/>
        <v>0</v>
      </c>
      <c r="T14" s="129">
        <f t="shared" si="5"/>
        <v>0</v>
      </c>
      <c r="U14" s="129">
        <f t="shared" si="5"/>
        <v>0</v>
      </c>
      <c r="V14" s="129">
        <f t="shared" si="5"/>
        <v>0</v>
      </c>
      <c r="W14"/>
      <c r="X14" s="129" t="e">
        <f t="shared" si="5"/>
        <v>#DIV/0!</v>
      </c>
      <c r="AE14" s="46"/>
      <c r="AF14" s="46"/>
      <c r="AG14" s="46"/>
    </row>
    <row r="15" spans="1:64" x14ac:dyDescent="0.3">
      <c r="A15" s="55" t="s">
        <v>90</v>
      </c>
      <c r="B15" s="5" t="s">
        <v>83</v>
      </c>
      <c r="C15" s="10">
        <v>2.5000000000000001E-3</v>
      </c>
      <c r="D15" s="10">
        <v>2.5000000000000001E-3</v>
      </c>
      <c r="E15" s="10">
        <v>2.5000000000000001E-3</v>
      </c>
      <c r="F15" s="10">
        <v>2.5000000000000001E-3</v>
      </c>
      <c r="G15" s="10">
        <v>2.5000000000000001E-3</v>
      </c>
      <c r="H15" s="10">
        <v>2.5000000000000001E-3</v>
      </c>
      <c r="I15" s="10">
        <v>2.5000000000000001E-3</v>
      </c>
      <c r="J15" s="10">
        <v>2.5000000000000001E-3</v>
      </c>
      <c r="K15" s="10">
        <v>2.5000000000000001E-3</v>
      </c>
      <c r="L15" s="10">
        <v>2.5000000000000001E-3</v>
      </c>
      <c r="M15" s="10">
        <v>2.5000000000000001E-3</v>
      </c>
      <c r="N15" s="10">
        <v>2.5000000000000001E-3</v>
      </c>
      <c r="O15" s="10">
        <v>2.5000000000000001E-3</v>
      </c>
      <c r="P15" s="10">
        <v>2.5000000000000001E-3</v>
      </c>
      <c r="Q15" s="10">
        <v>2.5000000000000001E-3</v>
      </c>
      <c r="R15" s="10">
        <v>2.5000000000000001E-3</v>
      </c>
      <c r="S15" s="10">
        <v>2.5000000000000001E-3</v>
      </c>
      <c r="T15" s="10">
        <v>2.5000000000000001E-3</v>
      </c>
      <c r="U15" s="10">
        <v>2.5000000000000001E-3</v>
      </c>
      <c r="V15" s="10">
        <v>2.5000000000000001E-3</v>
      </c>
      <c r="X15" s="10">
        <v>2.5000000000000001E-3</v>
      </c>
      <c r="AE15" s="46"/>
      <c r="AF15" s="46"/>
      <c r="AG15" s="46"/>
    </row>
    <row r="16" spans="1:64" x14ac:dyDescent="0.3">
      <c r="A16" s="55" t="s">
        <v>91</v>
      </c>
      <c r="B16" s="58" t="s">
        <v>87</v>
      </c>
      <c r="C16" s="9">
        <v>25</v>
      </c>
      <c r="D16" s="9">
        <v>25</v>
      </c>
      <c r="E16" s="9">
        <v>25</v>
      </c>
      <c r="F16" s="9">
        <v>25</v>
      </c>
      <c r="G16" s="9">
        <v>25</v>
      </c>
      <c r="H16" s="9">
        <v>25</v>
      </c>
      <c r="I16" s="9">
        <v>25</v>
      </c>
      <c r="J16" s="9">
        <v>25</v>
      </c>
      <c r="K16" s="9">
        <v>25</v>
      </c>
      <c r="L16" s="9">
        <v>25</v>
      </c>
      <c r="M16" s="9">
        <v>25</v>
      </c>
      <c r="N16" s="9">
        <v>25</v>
      </c>
      <c r="O16" s="9">
        <v>25</v>
      </c>
      <c r="P16" s="9">
        <v>25</v>
      </c>
      <c r="Q16" s="9">
        <v>25</v>
      </c>
      <c r="R16" s="9">
        <v>25</v>
      </c>
      <c r="S16" s="9">
        <v>25</v>
      </c>
      <c r="T16" s="9">
        <v>25</v>
      </c>
      <c r="U16" s="9">
        <v>25</v>
      </c>
      <c r="V16" s="9">
        <v>25</v>
      </c>
      <c r="X16" s="9">
        <v>25</v>
      </c>
      <c r="AE16" s="46"/>
      <c r="AF16" s="46"/>
      <c r="AG16" s="46"/>
    </row>
    <row r="17" spans="1:64" x14ac:dyDescent="0.3">
      <c r="A17" s="59"/>
      <c r="B17" s="60"/>
      <c r="C17" s="60"/>
      <c r="D17" s="61"/>
      <c r="E17" s="61"/>
      <c r="F17" s="61"/>
      <c r="G17" s="61"/>
      <c r="H17" s="61"/>
      <c r="J17" s="45"/>
      <c r="AE17" s="46"/>
      <c r="AF17" s="46"/>
      <c r="AG17" s="46"/>
    </row>
    <row r="18" spans="1:64" x14ac:dyDescent="0.3">
      <c r="A18" s="47"/>
      <c r="B18" s="428"/>
      <c r="C18" s="44"/>
      <c r="D18" s="47"/>
    </row>
    <row r="19" spans="1:64" s="49" customFormat="1" ht="15.6" x14ac:dyDescent="0.3">
      <c r="A19" s="48" t="s">
        <v>93</v>
      </c>
      <c r="B19" s="431"/>
      <c r="C19" s="48"/>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64" x14ac:dyDescent="0.3">
      <c r="C20" s="429" t="s">
        <v>49</v>
      </c>
      <c r="D20" s="57"/>
      <c r="E20" s="57"/>
      <c r="F20" s="57"/>
      <c r="G20" s="57"/>
      <c r="H20" s="57"/>
      <c r="I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x14ac:dyDescent="0.3">
      <c r="A21" s="63" t="s">
        <v>45</v>
      </c>
      <c r="B21" s="60"/>
      <c r="C21" s="429" t="s">
        <v>51</v>
      </c>
      <c r="D21" s="429" t="s">
        <v>52</v>
      </c>
      <c r="E21" s="429" t="s">
        <v>53</v>
      </c>
      <c r="F21" s="429" t="s">
        <v>54</v>
      </c>
      <c r="G21" s="429" t="s">
        <v>55</v>
      </c>
      <c r="H21" s="429" t="s">
        <v>56</v>
      </c>
      <c r="I21" s="429" t="s">
        <v>57</v>
      </c>
      <c r="J21" s="429" t="s">
        <v>58</v>
      </c>
      <c r="K21" s="429" t="s">
        <v>59</v>
      </c>
      <c r="L21" s="429" t="s">
        <v>60</v>
      </c>
      <c r="M21" s="429" t="s">
        <v>61</v>
      </c>
      <c r="N21" s="429" t="s">
        <v>62</v>
      </c>
      <c r="O21" s="429" t="s">
        <v>63</v>
      </c>
      <c r="P21" s="429" t="s">
        <v>64</v>
      </c>
      <c r="Q21" s="429" t="s">
        <v>65</v>
      </c>
      <c r="R21" s="429" t="s">
        <v>66</v>
      </c>
      <c r="S21" s="429" t="s">
        <v>67</v>
      </c>
      <c r="T21" s="429" t="s">
        <v>68</v>
      </c>
      <c r="U21" s="429" t="s">
        <v>69</v>
      </c>
      <c r="V21" s="429" t="s">
        <v>70</v>
      </c>
      <c r="W21" s="429"/>
      <c r="X21" s="429" t="s">
        <v>75</v>
      </c>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row>
    <row r="22" spans="1:64" x14ac:dyDescent="0.3">
      <c r="A22" s="582" t="str">
        <f>Inputs!A23</f>
        <v xml:space="preserve">1.2.1 Solar </v>
      </c>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row>
    <row r="23" spans="1:64" s="127" customFormat="1" x14ac:dyDescent="0.3">
      <c r="A23" s="55" t="str">
        <f>Inputs!A24</f>
        <v>Development costs</v>
      </c>
      <c r="B23" s="5" t="str">
        <f>Inputs!B24</f>
        <v>NGN</v>
      </c>
      <c r="C23" s="4"/>
      <c r="D23" s="4"/>
      <c r="E23" s="4"/>
      <c r="F23" s="4"/>
      <c r="G23" s="4"/>
      <c r="H23" s="4"/>
      <c r="I23" s="4"/>
      <c r="J23" s="4"/>
      <c r="K23" s="4"/>
      <c r="L23" s="4"/>
      <c r="M23" s="4"/>
      <c r="N23" s="4"/>
      <c r="O23" s="4"/>
      <c r="P23" s="4"/>
      <c r="Q23" s="4"/>
      <c r="R23" s="4"/>
      <c r="S23" s="4"/>
      <c r="T23" s="4"/>
      <c r="U23" s="4"/>
      <c r="V23" s="4"/>
      <c r="W23" s="44"/>
      <c r="X23" s="2">
        <f>SUM(C23:W23)</f>
        <v>0</v>
      </c>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127" customFormat="1" x14ac:dyDescent="0.3">
      <c r="A24" s="55" t="str">
        <f>Inputs!A25</f>
        <v>Land</v>
      </c>
      <c r="B24" s="5" t="str">
        <f>Inputs!B25</f>
        <v>NGN</v>
      </c>
      <c r="C24" s="4"/>
      <c r="D24" s="4"/>
      <c r="E24" s="4"/>
      <c r="F24" s="4"/>
      <c r="G24" s="4"/>
      <c r="H24" s="4"/>
      <c r="I24" s="4"/>
      <c r="J24" s="4"/>
      <c r="K24" s="4"/>
      <c r="L24" s="4"/>
      <c r="M24" s="4"/>
      <c r="N24" s="4"/>
      <c r="O24" s="4"/>
      <c r="P24" s="4"/>
      <c r="Q24" s="4"/>
      <c r="R24" s="4"/>
      <c r="S24" s="4"/>
      <c r="T24" s="4"/>
      <c r="U24" s="4"/>
      <c r="V24" s="4"/>
      <c r="W24" s="44"/>
      <c r="X24" s="2">
        <f t="shared" ref="X24:X43" si="6">SUM(C24:W24)</f>
        <v>0</v>
      </c>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127" customFormat="1" x14ac:dyDescent="0.3">
      <c r="A25" s="55" t="str">
        <f>Inputs!A26</f>
        <v>Solar panels</v>
      </c>
      <c r="B25" s="5" t="str">
        <f>Inputs!B26</f>
        <v>NGN</v>
      </c>
      <c r="C25" s="4"/>
      <c r="D25" s="4"/>
      <c r="E25" s="4"/>
      <c r="F25" s="4"/>
      <c r="G25" s="4"/>
      <c r="H25" s="4"/>
      <c r="I25" s="4"/>
      <c r="J25" s="4"/>
      <c r="K25" s="4"/>
      <c r="L25" s="4"/>
      <c r="M25" s="4"/>
      <c r="N25" s="4"/>
      <c r="O25" s="4"/>
      <c r="P25" s="4"/>
      <c r="Q25" s="4"/>
      <c r="R25" s="4"/>
      <c r="S25" s="4"/>
      <c r="T25" s="4"/>
      <c r="U25" s="4"/>
      <c r="V25" s="4"/>
      <c r="W25" s="44"/>
      <c r="X25" s="2">
        <f t="shared" si="6"/>
        <v>0</v>
      </c>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127" customFormat="1" x14ac:dyDescent="0.3">
      <c r="A26" s="55" t="str">
        <f>Inputs!A27</f>
        <v>Racking and mounting</v>
      </c>
      <c r="B26" s="5" t="str">
        <f>Inputs!B27</f>
        <v>NGN</v>
      </c>
      <c r="C26" s="4"/>
      <c r="D26" s="4"/>
      <c r="E26" s="4"/>
      <c r="F26" s="4"/>
      <c r="G26" s="4"/>
      <c r="H26" s="4"/>
      <c r="I26" s="4"/>
      <c r="J26" s="4"/>
      <c r="K26" s="4"/>
      <c r="L26" s="4"/>
      <c r="M26" s="4"/>
      <c r="N26" s="4"/>
      <c r="O26" s="4"/>
      <c r="P26" s="4"/>
      <c r="Q26" s="4"/>
      <c r="R26" s="4"/>
      <c r="S26" s="4"/>
      <c r="T26" s="4"/>
      <c r="U26" s="4"/>
      <c r="V26" s="4"/>
      <c r="W26" s="44"/>
      <c r="X26" s="2">
        <f t="shared" si="6"/>
        <v>0</v>
      </c>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127" customFormat="1" x14ac:dyDescent="0.3">
      <c r="A27" s="55" t="str">
        <f>Inputs!A28</f>
        <v>Inverters</v>
      </c>
      <c r="B27" s="5" t="str">
        <f>Inputs!B28</f>
        <v>NGN</v>
      </c>
      <c r="C27" s="4"/>
      <c r="D27" s="4"/>
      <c r="E27" s="4"/>
      <c r="F27" s="4"/>
      <c r="G27" s="4"/>
      <c r="H27" s="4"/>
      <c r="I27" s="4"/>
      <c r="J27" s="4"/>
      <c r="K27" s="4"/>
      <c r="L27" s="4"/>
      <c r="M27" s="4"/>
      <c r="N27" s="4"/>
      <c r="O27" s="4"/>
      <c r="P27" s="4"/>
      <c r="Q27" s="4"/>
      <c r="R27" s="4"/>
      <c r="S27" s="4"/>
      <c r="T27" s="4"/>
      <c r="U27" s="4"/>
      <c r="V27" s="4"/>
      <c r="W27" s="44"/>
      <c r="X27" s="2">
        <f t="shared" si="6"/>
        <v>0</v>
      </c>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127" customFormat="1" x14ac:dyDescent="0.3">
      <c r="A28" s="55" t="str">
        <f>Inputs!A29</f>
        <v>Charge controllers</v>
      </c>
      <c r="B28" s="5" t="str">
        <f>Inputs!B29</f>
        <v>NGN</v>
      </c>
      <c r="C28" s="4"/>
      <c r="D28" s="4"/>
      <c r="E28" s="4"/>
      <c r="F28" s="4"/>
      <c r="G28" s="4"/>
      <c r="H28" s="4"/>
      <c r="I28" s="4"/>
      <c r="J28" s="4"/>
      <c r="K28" s="4"/>
      <c r="L28" s="4"/>
      <c r="M28" s="4"/>
      <c r="N28" s="4"/>
      <c r="O28" s="4"/>
      <c r="P28" s="4"/>
      <c r="Q28" s="4"/>
      <c r="R28" s="4"/>
      <c r="S28" s="4"/>
      <c r="T28" s="4"/>
      <c r="U28" s="4"/>
      <c r="V28" s="4"/>
      <c r="W28" s="44"/>
      <c r="X28" s="2">
        <f t="shared" si="6"/>
        <v>0</v>
      </c>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127" customFormat="1" x14ac:dyDescent="0.3">
      <c r="A29" s="55" t="str">
        <f>Inputs!A30</f>
        <v>Batteries</v>
      </c>
      <c r="B29" s="5" t="str">
        <f>Inputs!B30</f>
        <v>NGN</v>
      </c>
      <c r="C29" s="4"/>
      <c r="D29" s="4"/>
      <c r="E29" s="4"/>
      <c r="F29" s="4"/>
      <c r="G29" s="4"/>
      <c r="H29" s="4"/>
      <c r="I29" s="4"/>
      <c r="J29" s="4"/>
      <c r="K29" s="4"/>
      <c r="L29" s="4"/>
      <c r="M29" s="4"/>
      <c r="N29" s="4"/>
      <c r="O29" s="4"/>
      <c r="P29" s="4"/>
      <c r="Q29" s="4"/>
      <c r="R29" s="4"/>
      <c r="S29" s="4"/>
      <c r="T29" s="4"/>
      <c r="U29" s="4"/>
      <c r="V29" s="4"/>
      <c r="W29" s="44"/>
      <c r="X29" s="2">
        <f t="shared" si="6"/>
        <v>0</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127" customFormat="1" x14ac:dyDescent="0.3">
      <c r="A30" s="55" t="str">
        <f>Inputs!A31</f>
        <v>Balance of system</v>
      </c>
      <c r="B30" s="5" t="str">
        <f>Inputs!B31</f>
        <v>NGN</v>
      </c>
      <c r="C30" s="4"/>
      <c r="D30" s="4"/>
      <c r="E30" s="4"/>
      <c r="F30" s="4"/>
      <c r="G30" s="4"/>
      <c r="H30" s="4"/>
      <c r="I30" s="4"/>
      <c r="J30" s="4"/>
      <c r="K30" s="4"/>
      <c r="L30" s="4"/>
      <c r="M30" s="4"/>
      <c r="N30" s="4"/>
      <c r="O30" s="4"/>
      <c r="P30" s="4"/>
      <c r="Q30" s="4"/>
      <c r="R30" s="4"/>
      <c r="S30" s="4"/>
      <c r="T30" s="4"/>
      <c r="U30" s="4"/>
      <c r="V30" s="4"/>
      <c r="W30" s="44"/>
      <c r="X30" s="2">
        <f t="shared" si="6"/>
        <v>0</v>
      </c>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127" customFormat="1" x14ac:dyDescent="0.3">
      <c r="A31" s="55" t="str">
        <f>Inputs!A32</f>
        <v>Civil works</v>
      </c>
      <c r="B31" s="5" t="str">
        <f>Inputs!B32</f>
        <v>NGN</v>
      </c>
      <c r="C31" s="4"/>
      <c r="D31" s="4"/>
      <c r="E31" s="4"/>
      <c r="F31" s="4"/>
      <c r="G31" s="4"/>
      <c r="H31" s="4"/>
      <c r="I31" s="4"/>
      <c r="J31" s="4"/>
      <c r="K31" s="4"/>
      <c r="L31" s="4"/>
      <c r="M31" s="4"/>
      <c r="N31" s="4"/>
      <c r="O31" s="4"/>
      <c r="P31" s="4"/>
      <c r="Q31" s="4"/>
      <c r="R31" s="4"/>
      <c r="S31" s="4"/>
      <c r="T31" s="4"/>
      <c r="U31" s="4"/>
      <c r="V31" s="4"/>
      <c r="W31" s="44"/>
      <c r="X31" s="2">
        <f t="shared" si="6"/>
        <v>0</v>
      </c>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127" customFormat="1" x14ac:dyDescent="0.3">
      <c r="A32" s="55" t="str">
        <f>Inputs!A33</f>
        <v>Powerhouse</v>
      </c>
      <c r="B32" s="5" t="str">
        <f>Inputs!B33</f>
        <v>NGN</v>
      </c>
      <c r="C32" s="4"/>
      <c r="D32" s="4"/>
      <c r="E32" s="4"/>
      <c r="F32" s="4"/>
      <c r="G32" s="4"/>
      <c r="H32" s="4"/>
      <c r="I32" s="4"/>
      <c r="J32" s="4"/>
      <c r="K32" s="4"/>
      <c r="L32" s="4"/>
      <c r="M32" s="4"/>
      <c r="N32" s="4"/>
      <c r="O32" s="4"/>
      <c r="P32" s="4"/>
      <c r="Q32" s="4"/>
      <c r="R32" s="4"/>
      <c r="S32" s="4"/>
      <c r="T32" s="4"/>
      <c r="U32" s="4"/>
      <c r="V32" s="4"/>
      <c r="W32" s="44"/>
      <c r="X32" s="2">
        <f t="shared" si="6"/>
        <v>0</v>
      </c>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127" customFormat="1" x14ac:dyDescent="0.3">
      <c r="A33" s="55" t="str">
        <f>Inputs!A34</f>
        <v>Logistics, transport, warehousing</v>
      </c>
      <c r="B33" s="5" t="str">
        <f>Inputs!B34</f>
        <v>NGN</v>
      </c>
      <c r="C33" s="4"/>
      <c r="D33" s="4"/>
      <c r="E33" s="4"/>
      <c r="F33" s="4"/>
      <c r="G33" s="4"/>
      <c r="H33" s="4"/>
      <c r="I33" s="4"/>
      <c r="J33" s="4"/>
      <c r="K33" s="4"/>
      <c r="L33" s="4"/>
      <c r="M33" s="4"/>
      <c r="N33" s="4"/>
      <c r="O33" s="4"/>
      <c r="P33" s="4"/>
      <c r="Q33" s="4"/>
      <c r="R33" s="4"/>
      <c r="S33" s="4"/>
      <c r="T33" s="4"/>
      <c r="U33" s="4"/>
      <c r="V33" s="4"/>
      <c r="W33" s="44"/>
      <c r="X33" s="2">
        <f t="shared" si="6"/>
        <v>0</v>
      </c>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127" customFormat="1" x14ac:dyDescent="0.3">
      <c r="A34" s="55" t="str">
        <f>Inputs!A35</f>
        <v xml:space="preserve">Custom duties </v>
      </c>
      <c r="B34" s="5" t="str">
        <f>Inputs!B35</f>
        <v>NGN</v>
      </c>
      <c r="C34" s="4"/>
      <c r="D34" s="4"/>
      <c r="E34" s="4"/>
      <c r="F34" s="4"/>
      <c r="G34" s="4"/>
      <c r="H34" s="4"/>
      <c r="I34" s="4"/>
      <c r="J34" s="4"/>
      <c r="K34" s="4"/>
      <c r="L34" s="4"/>
      <c r="M34" s="4"/>
      <c r="N34" s="4"/>
      <c r="O34" s="4"/>
      <c r="P34" s="4"/>
      <c r="Q34" s="4"/>
      <c r="R34" s="4"/>
      <c r="S34" s="4"/>
      <c r="T34" s="4"/>
      <c r="U34" s="4"/>
      <c r="V34" s="4"/>
      <c r="W34" s="44"/>
      <c r="X34" s="2">
        <f t="shared" si="6"/>
        <v>0</v>
      </c>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127" customFormat="1" x14ac:dyDescent="0.3">
      <c r="A35" s="55" t="str">
        <f>Inputs!A36</f>
        <v>VAT</v>
      </c>
      <c r="B35" s="5" t="str">
        <f>Inputs!B36</f>
        <v>NGN</v>
      </c>
      <c r="C35" s="4"/>
      <c r="D35" s="4"/>
      <c r="E35" s="4"/>
      <c r="F35" s="4"/>
      <c r="G35" s="4"/>
      <c r="H35" s="4"/>
      <c r="I35" s="4"/>
      <c r="J35" s="4"/>
      <c r="K35" s="4"/>
      <c r="L35" s="4"/>
      <c r="M35" s="4"/>
      <c r="N35" s="4"/>
      <c r="O35" s="4"/>
      <c r="P35" s="4"/>
      <c r="Q35" s="4"/>
      <c r="R35" s="4"/>
      <c r="S35" s="4"/>
      <c r="T35" s="4"/>
      <c r="U35" s="4"/>
      <c r="V35" s="4"/>
      <c r="W35" s="44"/>
      <c r="X35" s="2">
        <f t="shared" si="6"/>
        <v>0</v>
      </c>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127" customFormat="1" x14ac:dyDescent="0.3">
      <c r="A36" s="55" t="str">
        <f>Inputs!A37</f>
        <v>Installation and inspection</v>
      </c>
      <c r="B36" s="5" t="str">
        <f>Inputs!B37</f>
        <v>NGN</v>
      </c>
      <c r="C36" s="4"/>
      <c r="D36" s="4"/>
      <c r="E36" s="4"/>
      <c r="F36" s="4"/>
      <c r="G36" s="4"/>
      <c r="H36" s="4"/>
      <c r="I36" s="4"/>
      <c r="J36" s="4"/>
      <c r="K36" s="4"/>
      <c r="L36" s="4"/>
      <c r="M36" s="4"/>
      <c r="N36" s="4"/>
      <c r="O36" s="4"/>
      <c r="P36" s="4"/>
      <c r="Q36" s="4"/>
      <c r="R36" s="4"/>
      <c r="S36" s="4"/>
      <c r="T36" s="4"/>
      <c r="U36" s="4"/>
      <c r="V36" s="4"/>
      <c r="W36" s="44"/>
      <c r="X36" s="2">
        <f t="shared" si="6"/>
        <v>0</v>
      </c>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127" customFormat="1" x14ac:dyDescent="0.3">
      <c r="A37" s="55" t="str">
        <f>Inputs!A38</f>
        <v xml:space="preserve">Distribution assets </v>
      </c>
      <c r="B37" s="5" t="str">
        <f>Inputs!B38</f>
        <v>NGN</v>
      </c>
      <c r="C37" s="4"/>
      <c r="D37" s="4"/>
      <c r="E37" s="4"/>
      <c r="F37" s="4"/>
      <c r="G37" s="4"/>
      <c r="H37" s="4"/>
      <c r="I37" s="4"/>
      <c r="J37" s="4"/>
      <c r="K37" s="4"/>
      <c r="L37" s="4"/>
      <c r="M37" s="4"/>
      <c r="N37" s="4"/>
      <c r="O37" s="4"/>
      <c r="P37" s="4"/>
      <c r="Q37" s="4"/>
      <c r="R37" s="4"/>
      <c r="S37" s="4"/>
      <c r="T37" s="4"/>
      <c r="U37" s="4"/>
      <c r="V37" s="4"/>
      <c r="W37" s="44"/>
      <c r="X37" s="2">
        <f t="shared" si="6"/>
        <v>0</v>
      </c>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x14ac:dyDescent="0.3">
      <c r="A38" s="55" t="str">
        <f>Inputs!A39</f>
        <v>Transformers</v>
      </c>
      <c r="B38" s="5" t="str">
        <f>Inputs!B39</f>
        <v>NGN</v>
      </c>
      <c r="C38" s="4"/>
      <c r="D38" s="4"/>
      <c r="E38" s="4"/>
      <c r="F38" s="4"/>
      <c r="G38" s="4"/>
      <c r="H38" s="4"/>
      <c r="I38" s="4"/>
      <c r="J38" s="4"/>
      <c r="K38" s="4"/>
      <c r="L38" s="4"/>
      <c r="M38" s="4"/>
      <c r="N38" s="4"/>
      <c r="O38" s="4"/>
      <c r="P38" s="4"/>
      <c r="Q38" s="4"/>
      <c r="R38" s="4"/>
      <c r="S38" s="4"/>
      <c r="T38" s="4"/>
      <c r="U38" s="4"/>
      <c r="V38" s="4"/>
      <c r="X38" s="2">
        <f t="shared" si="6"/>
        <v>0</v>
      </c>
    </row>
    <row r="39" spans="1:64" x14ac:dyDescent="0.3">
      <c r="A39" s="55" t="str">
        <f>Inputs!A40</f>
        <v>Metering and termination/service drop</v>
      </c>
      <c r="B39" s="5" t="str">
        <f>Inputs!B40</f>
        <v>NGN</v>
      </c>
      <c r="C39" s="4"/>
      <c r="D39" s="4"/>
      <c r="E39" s="4"/>
      <c r="F39" s="4"/>
      <c r="G39" s="4"/>
      <c r="H39" s="4"/>
      <c r="I39" s="4"/>
      <c r="J39" s="4"/>
      <c r="K39" s="4"/>
      <c r="L39" s="4"/>
      <c r="M39" s="4"/>
      <c r="N39" s="4"/>
      <c r="O39" s="4"/>
      <c r="P39" s="4"/>
      <c r="Q39" s="4"/>
      <c r="R39" s="4"/>
      <c r="S39" s="4"/>
      <c r="T39" s="4"/>
      <c r="U39" s="4"/>
      <c r="V39" s="4"/>
      <c r="X39" s="2">
        <f t="shared" si="6"/>
        <v>0</v>
      </c>
    </row>
    <row r="40" spans="1:64" x14ac:dyDescent="0.3">
      <c r="A40" s="55">
        <f>Inputs!A41</f>
        <v>0</v>
      </c>
      <c r="B40" s="5" t="str">
        <f>Inputs!B41</f>
        <v>NGN</v>
      </c>
      <c r="C40" s="4"/>
      <c r="D40" s="4"/>
      <c r="E40" s="4"/>
      <c r="F40" s="4"/>
      <c r="G40" s="4"/>
      <c r="H40" s="4"/>
      <c r="I40" s="4"/>
      <c r="J40" s="4"/>
      <c r="K40" s="4"/>
      <c r="L40" s="4"/>
      <c r="M40" s="4"/>
      <c r="N40" s="4"/>
      <c r="O40" s="4"/>
      <c r="P40" s="4"/>
      <c r="Q40" s="4"/>
      <c r="R40" s="4"/>
      <c r="S40" s="4"/>
      <c r="T40" s="4"/>
      <c r="U40" s="4"/>
      <c r="V40" s="4"/>
      <c r="X40" s="2">
        <f t="shared" si="6"/>
        <v>0</v>
      </c>
    </row>
    <row r="41" spans="1:64" x14ac:dyDescent="0.3">
      <c r="A41" s="55">
        <f>Inputs!A42</f>
        <v>0</v>
      </c>
      <c r="B41" s="5" t="str">
        <f>Inputs!B42</f>
        <v>NGN</v>
      </c>
      <c r="C41" s="4"/>
      <c r="D41" s="4"/>
      <c r="E41" s="4"/>
      <c r="F41" s="4"/>
      <c r="G41" s="4"/>
      <c r="H41" s="4"/>
      <c r="I41" s="4"/>
      <c r="J41" s="4"/>
      <c r="K41" s="4"/>
      <c r="L41" s="4"/>
      <c r="M41" s="4"/>
      <c r="N41" s="4"/>
      <c r="O41" s="4"/>
      <c r="P41" s="4"/>
      <c r="Q41" s="4"/>
      <c r="R41" s="4"/>
      <c r="S41" s="4"/>
      <c r="T41" s="4"/>
      <c r="U41" s="4"/>
      <c r="V41" s="4"/>
      <c r="X41" s="2">
        <f t="shared" si="6"/>
        <v>0</v>
      </c>
    </row>
    <row r="42" spans="1:64" x14ac:dyDescent="0.3">
      <c r="A42" s="585" t="str">
        <f>Inputs!A43</f>
        <v>Generator set for back-up</v>
      </c>
      <c r="B42" s="586"/>
      <c r="C42" s="587"/>
      <c r="D42" s="585"/>
      <c r="E42" s="586"/>
      <c r="F42" s="587"/>
      <c r="G42" s="585"/>
      <c r="H42" s="586"/>
      <c r="I42" s="587"/>
      <c r="J42" s="585"/>
      <c r="K42" s="586"/>
      <c r="L42" s="587"/>
      <c r="M42" s="585"/>
      <c r="N42" s="586"/>
      <c r="O42" s="587"/>
      <c r="P42" s="585"/>
      <c r="Q42" s="586"/>
      <c r="R42" s="587"/>
      <c r="S42" s="585"/>
      <c r="T42" s="586"/>
      <c r="U42" s="587"/>
      <c r="V42" s="585"/>
      <c r="W42" s="586"/>
      <c r="X42" s="58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row>
    <row r="43" spans="1:64" x14ac:dyDescent="0.3">
      <c r="A43" s="55" t="str">
        <f>Inputs!A44</f>
        <v>Genset</v>
      </c>
      <c r="B43" s="5" t="str">
        <f>B23</f>
        <v>NGN</v>
      </c>
      <c r="C43" s="4"/>
      <c r="D43" s="4"/>
      <c r="E43" s="4"/>
      <c r="F43" s="4"/>
      <c r="G43" s="4"/>
      <c r="H43" s="4"/>
      <c r="I43" s="4"/>
      <c r="J43" s="4"/>
      <c r="K43" s="4"/>
      <c r="L43" s="4"/>
      <c r="M43" s="4"/>
      <c r="N43" s="4"/>
      <c r="O43" s="4"/>
      <c r="P43" s="4"/>
      <c r="Q43" s="4"/>
      <c r="R43" s="4"/>
      <c r="S43" s="4"/>
      <c r="T43" s="4"/>
      <c r="U43" s="4"/>
      <c r="V43" s="4"/>
      <c r="X43" s="2">
        <f t="shared" si="6"/>
        <v>0</v>
      </c>
    </row>
    <row r="44" spans="1:64" x14ac:dyDescent="0.3">
      <c r="A44" s="77">
        <f>Inputs!A45</f>
        <v>0</v>
      </c>
      <c r="B44" s="60" t="str">
        <f>B24</f>
        <v>NGN</v>
      </c>
      <c r="C44" s="78"/>
    </row>
    <row r="45" spans="1:64" x14ac:dyDescent="0.3">
      <c r="A45" s="582" t="str">
        <f>Inputs!A46</f>
        <v>1.2.2 Wind</v>
      </c>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row>
    <row r="46" spans="1:64" s="127" customFormat="1" x14ac:dyDescent="0.3">
      <c r="A46" s="55" t="str">
        <f>Inputs!A47</f>
        <v>Development costs</v>
      </c>
      <c r="B46" s="5" t="str">
        <f>Inputs!B47</f>
        <v>NGN</v>
      </c>
      <c r="C46" s="4"/>
      <c r="D46" s="4"/>
      <c r="E46" s="4"/>
      <c r="F46" s="4"/>
      <c r="G46" s="4"/>
      <c r="H46" s="4"/>
      <c r="I46" s="4"/>
      <c r="J46" s="4"/>
      <c r="K46" s="4"/>
      <c r="L46" s="4"/>
      <c r="M46" s="4"/>
      <c r="N46" s="4"/>
      <c r="O46" s="4"/>
      <c r="P46" s="4"/>
      <c r="Q46" s="4"/>
      <c r="R46" s="4"/>
      <c r="S46" s="4"/>
      <c r="T46" s="4"/>
      <c r="U46" s="4"/>
      <c r="V46" s="4"/>
      <c r="W46" s="44"/>
      <c r="X46" s="2">
        <f>SUM(C46:W46)</f>
        <v>0</v>
      </c>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s="127" customFormat="1" x14ac:dyDescent="0.3">
      <c r="A47" s="55" t="str">
        <f>Inputs!A48</f>
        <v>Land</v>
      </c>
      <c r="B47" s="5" t="str">
        <f>Inputs!B48</f>
        <v>NGN</v>
      </c>
      <c r="C47" s="4"/>
      <c r="D47" s="4"/>
      <c r="E47" s="4"/>
      <c r="F47" s="4"/>
      <c r="G47" s="4"/>
      <c r="H47" s="4"/>
      <c r="I47" s="4"/>
      <c r="J47" s="4"/>
      <c r="K47" s="4"/>
      <c r="L47" s="4"/>
      <c r="M47" s="4"/>
      <c r="N47" s="4"/>
      <c r="O47" s="4"/>
      <c r="P47" s="4"/>
      <c r="Q47" s="4"/>
      <c r="R47" s="4"/>
      <c r="S47" s="4"/>
      <c r="T47" s="4"/>
      <c r="U47" s="4"/>
      <c r="V47" s="4"/>
      <c r="W47" s="44"/>
      <c r="X47" s="2">
        <f t="shared" ref="X47:X59" si="7">SUM(C47:W47)</f>
        <v>0</v>
      </c>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s="127" customFormat="1" x14ac:dyDescent="0.3">
      <c r="A48" s="55" t="str">
        <f>Inputs!A49</f>
        <v>Turbines and all its elements</v>
      </c>
      <c r="B48" s="5" t="str">
        <f>Inputs!B49</f>
        <v>NGN</v>
      </c>
      <c r="C48" s="4"/>
      <c r="D48" s="4"/>
      <c r="E48" s="4"/>
      <c r="F48" s="4"/>
      <c r="G48" s="4"/>
      <c r="H48" s="4"/>
      <c r="I48" s="4"/>
      <c r="J48" s="4"/>
      <c r="K48" s="4"/>
      <c r="L48" s="4"/>
      <c r="M48" s="4"/>
      <c r="N48" s="4"/>
      <c r="O48" s="4"/>
      <c r="P48" s="4"/>
      <c r="Q48" s="4"/>
      <c r="R48" s="4"/>
      <c r="S48" s="4"/>
      <c r="T48" s="4"/>
      <c r="U48" s="4"/>
      <c r="V48" s="4"/>
      <c r="W48" s="44"/>
      <c r="X48" s="2">
        <f t="shared" si="7"/>
        <v>0</v>
      </c>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s="127" customFormat="1" x14ac:dyDescent="0.3">
      <c r="A49" s="55" t="str">
        <f>Inputs!A50</f>
        <v>Balance of system</v>
      </c>
      <c r="B49" s="5" t="str">
        <f>Inputs!B50</f>
        <v>NGN</v>
      </c>
      <c r="C49" s="4"/>
      <c r="D49" s="4"/>
      <c r="E49" s="4"/>
      <c r="F49" s="4"/>
      <c r="G49" s="4"/>
      <c r="H49" s="4"/>
      <c r="I49" s="4"/>
      <c r="J49" s="4"/>
      <c r="K49" s="4"/>
      <c r="L49" s="4"/>
      <c r="M49" s="4"/>
      <c r="N49" s="4"/>
      <c r="O49" s="4"/>
      <c r="P49" s="4"/>
      <c r="Q49" s="4"/>
      <c r="R49" s="4"/>
      <c r="S49" s="4"/>
      <c r="T49" s="4"/>
      <c r="U49" s="4"/>
      <c r="V49" s="4"/>
      <c r="W49" s="44"/>
      <c r="X49" s="2">
        <f t="shared" si="7"/>
        <v>0</v>
      </c>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s="127" customFormat="1" x14ac:dyDescent="0.3">
      <c r="A50" s="55" t="str">
        <f>Inputs!A51</f>
        <v>Civil works and foundations</v>
      </c>
      <c r="B50" s="5" t="str">
        <f>Inputs!B51</f>
        <v>NGN</v>
      </c>
      <c r="C50" s="4"/>
      <c r="D50" s="4"/>
      <c r="E50" s="4"/>
      <c r="F50" s="4"/>
      <c r="G50" s="4"/>
      <c r="H50" s="4"/>
      <c r="I50" s="4"/>
      <c r="J50" s="4"/>
      <c r="K50" s="4"/>
      <c r="L50" s="4"/>
      <c r="M50" s="4"/>
      <c r="N50" s="4"/>
      <c r="O50" s="4"/>
      <c r="P50" s="4"/>
      <c r="Q50" s="4"/>
      <c r="R50" s="4"/>
      <c r="S50" s="4"/>
      <c r="T50" s="4"/>
      <c r="U50" s="4"/>
      <c r="V50" s="4"/>
      <c r="W50" s="44"/>
      <c r="X50" s="2">
        <f t="shared" si="7"/>
        <v>0</v>
      </c>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s="127" customFormat="1" x14ac:dyDescent="0.3">
      <c r="A51" s="55" t="str">
        <f>Inputs!A52</f>
        <v>Powerhouse</v>
      </c>
      <c r="B51" s="5" t="str">
        <f>Inputs!B52</f>
        <v>NGN</v>
      </c>
      <c r="C51" s="4"/>
      <c r="D51" s="4"/>
      <c r="E51" s="4"/>
      <c r="F51" s="4"/>
      <c r="G51" s="4"/>
      <c r="H51" s="4"/>
      <c r="I51" s="4"/>
      <c r="J51" s="4"/>
      <c r="K51" s="4"/>
      <c r="L51" s="4"/>
      <c r="M51" s="4"/>
      <c r="N51" s="4"/>
      <c r="O51" s="4"/>
      <c r="P51" s="4"/>
      <c r="Q51" s="4"/>
      <c r="R51" s="4"/>
      <c r="S51" s="4"/>
      <c r="T51" s="4"/>
      <c r="U51" s="4"/>
      <c r="V51" s="4"/>
      <c r="W51" s="44"/>
      <c r="X51" s="2">
        <f t="shared" si="7"/>
        <v>0</v>
      </c>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s="127" customFormat="1" x14ac:dyDescent="0.3">
      <c r="A52" s="55" t="str">
        <f>Inputs!A53</f>
        <v>Logistics, transport, warehousing</v>
      </c>
      <c r="B52" s="5" t="str">
        <f>Inputs!B53</f>
        <v>NGN</v>
      </c>
      <c r="C52" s="4"/>
      <c r="D52" s="4"/>
      <c r="E52" s="4"/>
      <c r="F52" s="4"/>
      <c r="G52" s="4"/>
      <c r="H52" s="4"/>
      <c r="I52" s="4"/>
      <c r="J52" s="4"/>
      <c r="K52" s="4"/>
      <c r="L52" s="4"/>
      <c r="M52" s="4"/>
      <c r="N52" s="4"/>
      <c r="O52" s="4"/>
      <c r="P52" s="4"/>
      <c r="Q52" s="4"/>
      <c r="R52" s="4"/>
      <c r="S52" s="4"/>
      <c r="T52" s="4"/>
      <c r="U52" s="4"/>
      <c r="V52" s="4"/>
      <c r="W52" s="44"/>
      <c r="X52" s="2">
        <f t="shared" si="7"/>
        <v>0</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s="127" customFormat="1" x14ac:dyDescent="0.3">
      <c r="A53" s="55" t="str">
        <f>Inputs!A54</f>
        <v>Custom duties</v>
      </c>
      <c r="B53" s="5" t="str">
        <f>Inputs!B54</f>
        <v>NGN</v>
      </c>
      <c r="C53" s="4"/>
      <c r="D53" s="4"/>
      <c r="E53" s="4"/>
      <c r="F53" s="4"/>
      <c r="G53" s="4"/>
      <c r="H53" s="4"/>
      <c r="I53" s="4"/>
      <c r="J53" s="4"/>
      <c r="K53" s="4"/>
      <c r="L53" s="4"/>
      <c r="M53" s="4"/>
      <c r="N53" s="4"/>
      <c r="O53" s="4"/>
      <c r="P53" s="4"/>
      <c r="Q53" s="4"/>
      <c r="R53" s="4"/>
      <c r="S53" s="4"/>
      <c r="T53" s="4"/>
      <c r="U53" s="4"/>
      <c r="V53" s="4"/>
      <c r="W53" s="44"/>
      <c r="X53" s="2">
        <f t="shared" si="7"/>
        <v>0</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s="127" customFormat="1" x14ac:dyDescent="0.3">
      <c r="A54" s="55" t="str">
        <f>Inputs!A55</f>
        <v>VAT</v>
      </c>
      <c r="B54" s="5" t="str">
        <f>Inputs!B55</f>
        <v>NGN</v>
      </c>
      <c r="C54" s="4"/>
      <c r="D54" s="4"/>
      <c r="E54" s="4"/>
      <c r="F54" s="4"/>
      <c r="G54" s="4"/>
      <c r="H54" s="4"/>
      <c r="I54" s="4"/>
      <c r="J54" s="4"/>
      <c r="K54" s="4"/>
      <c r="L54" s="4"/>
      <c r="M54" s="4"/>
      <c r="N54" s="4"/>
      <c r="O54" s="4"/>
      <c r="P54" s="4"/>
      <c r="Q54" s="4"/>
      <c r="R54" s="4"/>
      <c r="S54" s="4"/>
      <c r="T54" s="4"/>
      <c r="U54" s="4"/>
      <c r="V54" s="4"/>
      <c r="W54" s="44"/>
      <c r="X54" s="2">
        <f t="shared" si="7"/>
        <v>0</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s="127" customFormat="1" x14ac:dyDescent="0.3">
      <c r="A55" s="55" t="str">
        <f>Inputs!A56</f>
        <v>Installation and inspection</v>
      </c>
      <c r="B55" s="5" t="str">
        <f>Inputs!B56</f>
        <v>NGN</v>
      </c>
      <c r="C55" s="4"/>
      <c r="D55" s="4"/>
      <c r="E55" s="4"/>
      <c r="F55" s="4"/>
      <c r="G55" s="4"/>
      <c r="H55" s="4"/>
      <c r="I55" s="4"/>
      <c r="J55" s="4"/>
      <c r="K55" s="4"/>
      <c r="L55" s="4"/>
      <c r="M55" s="4"/>
      <c r="N55" s="4"/>
      <c r="O55" s="4"/>
      <c r="P55" s="4"/>
      <c r="Q55" s="4"/>
      <c r="R55" s="4"/>
      <c r="S55" s="4"/>
      <c r="T55" s="4"/>
      <c r="U55" s="4"/>
      <c r="V55" s="4"/>
      <c r="W55" s="44"/>
      <c r="X55" s="2">
        <f t="shared" si="7"/>
        <v>0</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s="127" customFormat="1" x14ac:dyDescent="0.3">
      <c r="A56" s="55" t="str">
        <f>Inputs!A57</f>
        <v>Distribution assets capital costs</v>
      </c>
      <c r="B56" s="5" t="str">
        <f>Inputs!B57</f>
        <v>NGN</v>
      </c>
      <c r="C56" s="4"/>
      <c r="D56" s="4"/>
      <c r="E56" s="4"/>
      <c r="F56" s="4"/>
      <c r="G56" s="4"/>
      <c r="H56" s="4"/>
      <c r="I56" s="4"/>
      <c r="J56" s="4"/>
      <c r="K56" s="4"/>
      <c r="L56" s="4"/>
      <c r="M56" s="4"/>
      <c r="N56" s="4"/>
      <c r="O56" s="4"/>
      <c r="P56" s="4"/>
      <c r="Q56" s="4"/>
      <c r="R56" s="4"/>
      <c r="S56" s="4"/>
      <c r="T56" s="4"/>
      <c r="U56" s="4"/>
      <c r="V56" s="4"/>
      <c r="W56" s="44"/>
      <c r="X56" s="2">
        <f t="shared" si="7"/>
        <v>0</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s="127" customFormat="1" x14ac:dyDescent="0.3">
      <c r="A57" s="55" t="str">
        <f>Inputs!A58</f>
        <v>Transformers</v>
      </c>
      <c r="B57" s="5" t="str">
        <f>Inputs!B58</f>
        <v>NGN</v>
      </c>
      <c r="C57" s="4"/>
      <c r="D57" s="4"/>
      <c r="E57" s="4"/>
      <c r="F57" s="4"/>
      <c r="G57" s="4"/>
      <c r="H57" s="4"/>
      <c r="I57" s="4"/>
      <c r="J57" s="4"/>
      <c r="K57" s="4"/>
      <c r="L57" s="4"/>
      <c r="M57" s="4"/>
      <c r="N57" s="4"/>
      <c r="O57" s="4"/>
      <c r="P57" s="4"/>
      <c r="Q57" s="4"/>
      <c r="R57" s="4"/>
      <c r="S57" s="4"/>
      <c r="T57" s="4"/>
      <c r="U57" s="4"/>
      <c r="V57" s="4"/>
      <c r="W57" s="44"/>
      <c r="X57" s="2">
        <f t="shared" si="7"/>
        <v>0</v>
      </c>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64" s="127" customFormat="1" x14ac:dyDescent="0.3">
      <c r="A58" s="55" t="str">
        <f>Inputs!A59</f>
        <v>Metering and termination</v>
      </c>
      <c r="B58" s="5" t="str">
        <f>Inputs!B59</f>
        <v>NGN</v>
      </c>
      <c r="C58" s="4"/>
      <c r="D58" s="4"/>
      <c r="E58" s="4"/>
      <c r="F58" s="4"/>
      <c r="G58" s="4"/>
      <c r="H58" s="4"/>
      <c r="I58" s="4"/>
      <c r="J58" s="4"/>
      <c r="K58" s="4"/>
      <c r="L58" s="4"/>
      <c r="M58" s="4"/>
      <c r="N58" s="4"/>
      <c r="O58" s="4"/>
      <c r="P58" s="4"/>
      <c r="Q58" s="4"/>
      <c r="R58" s="4"/>
      <c r="S58" s="4"/>
      <c r="T58" s="4"/>
      <c r="U58" s="4"/>
      <c r="V58" s="4"/>
      <c r="W58" s="44"/>
      <c r="X58" s="2">
        <f t="shared" si="7"/>
        <v>0</v>
      </c>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row>
    <row r="59" spans="1:64" s="127" customFormat="1" x14ac:dyDescent="0.3">
      <c r="A59" s="55">
        <f>Inputs!A60</f>
        <v>0</v>
      </c>
      <c r="B59" s="5" t="str">
        <f>Inputs!B60</f>
        <v>NGN</v>
      </c>
      <c r="C59" s="4"/>
      <c r="D59" s="4"/>
      <c r="E59" s="4"/>
      <c r="F59" s="4"/>
      <c r="G59" s="4"/>
      <c r="H59" s="4"/>
      <c r="I59" s="4"/>
      <c r="J59" s="4"/>
      <c r="K59" s="4"/>
      <c r="L59" s="4"/>
      <c r="M59" s="4"/>
      <c r="N59" s="4"/>
      <c r="O59" s="4"/>
      <c r="P59" s="4"/>
      <c r="Q59" s="4"/>
      <c r="R59" s="4"/>
      <c r="S59" s="4"/>
      <c r="T59" s="4"/>
      <c r="U59" s="4"/>
      <c r="V59" s="4"/>
      <c r="W59" s="44"/>
      <c r="X59" s="2">
        <f t="shared" si="7"/>
        <v>0</v>
      </c>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s="127" customFormat="1" x14ac:dyDescent="0.3">
      <c r="A60" s="55">
        <f>Inputs!A61</f>
        <v>0</v>
      </c>
      <c r="B60" s="5" t="str">
        <f>Inputs!B61</f>
        <v>NGN</v>
      </c>
      <c r="C60" s="4"/>
      <c r="D60" s="4"/>
      <c r="E60" s="4"/>
      <c r="F60" s="4"/>
      <c r="G60" s="4"/>
      <c r="H60" s="4"/>
      <c r="I60" s="4"/>
      <c r="J60" s="4"/>
      <c r="K60" s="4"/>
      <c r="L60" s="4"/>
      <c r="M60" s="4"/>
      <c r="N60" s="4"/>
      <c r="O60" s="4"/>
      <c r="P60" s="4"/>
      <c r="Q60" s="4"/>
      <c r="R60" s="4"/>
      <c r="S60" s="4"/>
      <c r="T60" s="4"/>
      <c r="U60" s="4"/>
      <c r="V60" s="4"/>
      <c r="W60" s="44"/>
      <c r="X60" s="2"/>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x14ac:dyDescent="0.3">
      <c r="A61" s="582" t="str">
        <f>Inputs!A62</f>
        <v>1.2.3 Hydro</v>
      </c>
      <c r="B61" s="583"/>
      <c r="C61" s="583"/>
      <c r="D61" s="583"/>
      <c r="E61" s="583"/>
      <c r="F61" s="583"/>
      <c r="G61" s="583"/>
      <c r="H61" s="583"/>
      <c r="I61" s="583"/>
      <c r="J61" s="583"/>
      <c r="K61" s="583"/>
      <c r="L61" s="583"/>
      <c r="M61" s="583"/>
      <c r="N61" s="583"/>
      <c r="O61" s="583"/>
      <c r="P61" s="583"/>
      <c r="Q61" s="583"/>
      <c r="R61" s="583"/>
      <c r="S61" s="583"/>
      <c r="T61" s="583"/>
      <c r="U61" s="583"/>
      <c r="V61" s="583"/>
      <c r="W61" s="583"/>
      <c r="X61" s="583"/>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row>
    <row r="62" spans="1:64" s="127" customFormat="1" x14ac:dyDescent="0.3">
      <c r="A62" s="55" t="str">
        <f>Inputs!A63</f>
        <v>Development costs</v>
      </c>
      <c r="B62" s="5" t="str">
        <f>B23</f>
        <v>NGN</v>
      </c>
      <c r="C62" s="4"/>
      <c r="D62" s="4"/>
      <c r="E62" s="4"/>
      <c r="F62" s="4"/>
      <c r="G62" s="4"/>
      <c r="H62" s="4"/>
      <c r="I62" s="4"/>
      <c r="J62" s="4"/>
      <c r="K62" s="4"/>
      <c r="L62" s="4"/>
      <c r="M62" s="4"/>
      <c r="N62" s="4"/>
      <c r="O62" s="4"/>
      <c r="P62" s="4"/>
      <c r="Q62" s="4"/>
      <c r="R62" s="4"/>
      <c r="S62" s="4"/>
      <c r="T62" s="4"/>
      <c r="U62" s="4"/>
      <c r="V62" s="4"/>
      <c r="W62" s="44"/>
      <c r="X62" s="2">
        <f>SUM(C62:W62)</f>
        <v>0</v>
      </c>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s="127" customFormat="1" x14ac:dyDescent="0.3">
      <c r="A63" s="55" t="str">
        <f>Inputs!A64</f>
        <v>Land</v>
      </c>
      <c r="B63" s="5" t="str">
        <f t="shared" ref="B63:B78" si="8">B24</f>
        <v>NGN</v>
      </c>
      <c r="C63" s="4"/>
      <c r="D63" s="4"/>
      <c r="E63" s="4"/>
      <c r="F63" s="4"/>
      <c r="G63" s="4"/>
      <c r="H63" s="4"/>
      <c r="I63" s="4"/>
      <c r="J63" s="4"/>
      <c r="K63" s="4"/>
      <c r="L63" s="4"/>
      <c r="M63" s="4"/>
      <c r="N63" s="4"/>
      <c r="O63" s="4"/>
      <c r="P63" s="4"/>
      <c r="Q63" s="4"/>
      <c r="R63" s="4"/>
      <c r="S63" s="4"/>
      <c r="T63" s="4"/>
      <c r="U63" s="4"/>
      <c r="V63" s="4"/>
      <c r="W63" s="44"/>
      <c r="X63" s="2">
        <f t="shared" ref="X63:X114" si="9">SUM(C63:W63)</f>
        <v>0</v>
      </c>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64" s="127" customFormat="1" x14ac:dyDescent="0.3">
      <c r="A64" s="55" t="str">
        <f>Inputs!A65</f>
        <v>Reservoirs/Dams/Waterways Costs/Forebay</v>
      </c>
      <c r="B64" s="5" t="str">
        <f t="shared" si="8"/>
        <v>NGN</v>
      </c>
      <c r="C64" s="4"/>
      <c r="D64" s="4"/>
      <c r="E64" s="4"/>
      <c r="F64" s="4"/>
      <c r="G64" s="4"/>
      <c r="H64" s="4"/>
      <c r="I64" s="4"/>
      <c r="J64" s="4"/>
      <c r="K64" s="4"/>
      <c r="L64" s="4"/>
      <c r="M64" s="4"/>
      <c r="N64" s="4"/>
      <c r="O64" s="4"/>
      <c r="P64" s="4"/>
      <c r="Q64" s="4"/>
      <c r="R64" s="4"/>
      <c r="S64" s="4"/>
      <c r="T64" s="4"/>
      <c r="U64" s="4"/>
      <c r="V64" s="4"/>
      <c r="W64" s="44"/>
      <c r="X64" s="2">
        <f t="shared" si="9"/>
        <v>0</v>
      </c>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64" s="127" customFormat="1" x14ac:dyDescent="0.3">
      <c r="A65" s="55" t="str">
        <f>Inputs!A66</f>
        <v>Intake, Penstock and Surge Chamber, draft tube, tail race</v>
      </c>
      <c r="B65" s="5" t="str">
        <f t="shared" si="8"/>
        <v>NGN</v>
      </c>
      <c r="C65" s="4"/>
      <c r="D65" s="4"/>
      <c r="E65" s="4"/>
      <c r="F65" s="4"/>
      <c r="G65" s="4"/>
      <c r="H65" s="4"/>
      <c r="I65" s="4"/>
      <c r="J65" s="4"/>
      <c r="K65" s="4"/>
      <c r="L65" s="4"/>
      <c r="M65" s="4"/>
      <c r="N65" s="4"/>
      <c r="O65" s="4"/>
      <c r="P65" s="4"/>
      <c r="Q65" s="4"/>
      <c r="R65" s="4"/>
      <c r="S65" s="4"/>
      <c r="T65" s="4"/>
      <c r="U65" s="4"/>
      <c r="V65" s="4"/>
      <c r="W65" s="44"/>
      <c r="X65" s="2">
        <f t="shared" si="9"/>
        <v>0</v>
      </c>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127" customFormat="1" x14ac:dyDescent="0.3">
      <c r="A66" s="55" t="str">
        <f>Inputs!A67</f>
        <v>Water Wheels, Turbines and Generators</v>
      </c>
      <c r="B66" s="5" t="str">
        <f t="shared" si="8"/>
        <v>NGN</v>
      </c>
      <c r="C66" s="4"/>
      <c r="D66" s="4"/>
      <c r="E66" s="4"/>
      <c r="F66" s="4"/>
      <c r="G66" s="4"/>
      <c r="H66" s="4"/>
      <c r="I66" s="4"/>
      <c r="J66" s="4"/>
      <c r="K66" s="4"/>
      <c r="L66" s="4"/>
      <c r="M66" s="4"/>
      <c r="N66" s="4"/>
      <c r="O66" s="4"/>
      <c r="P66" s="4"/>
      <c r="Q66" s="4"/>
      <c r="R66" s="4"/>
      <c r="S66" s="4"/>
      <c r="T66" s="4"/>
      <c r="U66" s="4"/>
      <c r="V66" s="4"/>
      <c r="W66" s="44"/>
      <c r="X66" s="2">
        <f t="shared" si="9"/>
        <v>0</v>
      </c>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127" customFormat="1" x14ac:dyDescent="0.3">
      <c r="A67" s="55" t="str">
        <f>Inputs!A68</f>
        <v>Balance of system</v>
      </c>
      <c r="B67" s="5" t="str">
        <f t="shared" si="8"/>
        <v>NGN</v>
      </c>
      <c r="C67" s="4"/>
      <c r="D67" s="4"/>
      <c r="E67" s="4"/>
      <c r="F67" s="4"/>
      <c r="G67" s="4"/>
      <c r="H67" s="4"/>
      <c r="I67" s="4"/>
      <c r="J67" s="4"/>
      <c r="K67" s="4"/>
      <c r="L67" s="4"/>
      <c r="M67" s="4"/>
      <c r="N67" s="4"/>
      <c r="O67" s="4"/>
      <c r="P67" s="4"/>
      <c r="Q67" s="4"/>
      <c r="R67" s="4"/>
      <c r="S67" s="4"/>
      <c r="T67" s="4"/>
      <c r="U67" s="4"/>
      <c r="V67" s="4"/>
      <c r="W67" s="44"/>
      <c r="X67" s="2">
        <f t="shared" si="9"/>
        <v>0</v>
      </c>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127" customFormat="1" x14ac:dyDescent="0.3">
      <c r="A68" s="55" t="str">
        <f>Inputs!A69</f>
        <v>Civil works and foundations</v>
      </c>
      <c r="B68" s="5" t="str">
        <f t="shared" si="8"/>
        <v>NGN</v>
      </c>
      <c r="C68" s="4"/>
      <c r="D68" s="4"/>
      <c r="E68" s="4"/>
      <c r="F68" s="4"/>
      <c r="G68" s="4"/>
      <c r="H68" s="4"/>
      <c r="I68" s="4"/>
      <c r="J68" s="4"/>
      <c r="K68" s="4"/>
      <c r="L68" s="4"/>
      <c r="M68" s="4"/>
      <c r="N68" s="4"/>
      <c r="O68" s="4"/>
      <c r="P68" s="4"/>
      <c r="Q68" s="4"/>
      <c r="R68" s="4"/>
      <c r="S68" s="4"/>
      <c r="T68" s="4"/>
      <c r="U68" s="4"/>
      <c r="V68" s="4"/>
      <c r="W68" s="44"/>
      <c r="X68" s="2">
        <f t="shared" si="9"/>
        <v>0</v>
      </c>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127" customFormat="1" x14ac:dyDescent="0.3">
      <c r="A69" s="55" t="str">
        <f>Inputs!A70</f>
        <v>Powerhouse</v>
      </c>
      <c r="B69" s="5" t="str">
        <f t="shared" si="8"/>
        <v>NGN</v>
      </c>
      <c r="C69" s="4"/>
      <c r="D69" s="4"/>
      <c r="E69" s="4"/>
      <c r="F69" s="4"/>
      <c r="G69" s="4"/>
      <c r="H69" s="4"/>
      <c r="I69" s="4"/>
      <c r="J69" s="4"/>
      <c r="K69" s="4"/>
      <c r="L69" s="4"/>
      <c r="M69" s="4"/>
      <c r="N69" s="4"/>
      <c r="O69" s="4"/>
      <c r="P69" s="4"/>
      <c r="Q69" s="4"/>
      <c r="R69" s="4"/>
      <c r="S69" s="4"/>
      <c r="T69" s="4"/>
      <c r="U69" s="4"/>
      <c r="V69" s="4"/>
      <c r="W69" s="44"/>
      <c r="X69" s="2">
        <f t="shared" si="9"/>
        <v>0</v>
      </c>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s="127" customFormat="1" x14ac:dyDescent="0.3">
      <c r="A70" s="55" t="str">
        <f>Inputs!A71</f>
        <v>Logistics, transport, warehousing</v>
      </c>
      <c r="B70" s="5" t="str">
        <f t="shared" si="8"/>
        <v>NGN</v>
      </c>
      <c r="C70" s="4"/>
      <c r="D70" s="4"/>
      <c r="E70" s="4"/>
      <c r="F70" s="4"/>
      <c r="G70" s="4"/>
      <c r="H70" s="4"/>
      <c r="I70" s="4"/>
      <c r="J70" s="4"/>
      <c r="K70" s="4"/>
      <c r="L70" s="4"/>
      <c r="M70" s="4"/>
      <c r="N70" s="4"/>
      <c r="O70" s="4"/>
      <c r="P70" s="4"/>
      <c r="Q70" s="4"/>
      <c r="R70" s="4"/>
      <c r="S70" s="4"/>
      <c r="T70" s="4"/>
      <c r="U70" s="4"/>
      <c r="V70" s="4"/>
      <c r="W70" s="44"/>
      <c r="X70" s="2">
        <f t="shared" si="9"/>
        <v>0</v>
      </c>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64" s="127" customFormat="1" x14ac:dyDescent="0.3">
      <c r="A71" s="55" t="str">
        <f>Inputs!A72</f>
        <v>Custom duties</v>
      </c>
      <c r="B71" s="5" t="str">
        <f t="shared" si="8"/>
        <v>NGN</v>
      </c>
      <c r="C71" s="4"/>
      <c r="D71" s="4"/>
      <c r="E71" s="4"/>
      <c r="F71" s="4"/>
      <c r="G71" s="4"/>
      <c r="H71" s="4"/>
      <c r="I71" s="4"/>
      <c r="J71" s="4"/>
      <c r="K71" s="4"/>
      <c r="L71" s="4"/>
      <c r="M71" s="4"/>
      <c r="N71" s="4"/>
      <c r="O71" s="4"/>
      <c r="P71" s="4"/>
      <c r="Q71" s="4"/>
      <c r="R71" s="4"/>
      <c r="S71" s="4"/>
      <c r="T71" s="4"/>
      <c r="U71" s="4"/>
      <c r="V71" s="4"/>
      <c r="W71" s="44"/>
      <c r="X71" s="2">
        <f t="shared" si="9"/>
        <v>0</v>
      </c>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row>
    <row r="72" spans="1:64" s="127" customFormat="1" x14ac:dyDescent="0.3">
      <c r="A72" s="55" t="str">
        <f>Inputs!A73</f>
        <v>VAT</v>
      </c>
      <c r="B72" s="5" t="str">
        <f t="shared" si="8"/>
        <v>NGN</v>
      </c>
      <c r="C72" s="4"/>
      <c r="D72" s="4"/>
      <c r="E72" s="4"/>
      <c r="F72" s="4"/>
      <c r="G72" s="4"/>
      <c r="H72" s="4"/>
      <c r="I72" s="4"/>
      <c r="J72" s="4"/>
      <c r="K72" s="4"/>
      <c r="L72" s="4"/>
      <c r="M72" s="4"/>
      <c r="N72" s="4"/>
      <c r="O72" s="4"/>
      <c r="P72" s="4"/>
      <c r="Q72" s="4"/>
      <c r="R72" s="4"/>
      <c r="S72" s="4"/>
      <c r="T72" s="4"/>
      <c r="U72" s="4"/>
      <c r="V72" s="4"/>
      <c r="W72" s="44"/>
      <c r="X72" s="2">
        <f t="shared" si="9"/>
        <v>0</v>
      </c>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64" s="127" customFormat="1" x14ac:dyDescent="0.3">
      <c r="A73" s="55" t="str">
        <f>Inputs!A74</f>
        <v>Installation and inspection</v>
      </c>
      <c r="B73" s="5" t="str">
        <f t="shared" si="8"/>
        <v>NGN</v>
      </c>
      <c r="C73" s="4"/>
      <c r="D73" s="4"/>
      <c r="E73" s="4"/>
      <c r="F73" s="4"/>
      <c r="G73" s="4"/>
      <c r="H73" s="4"/>
      <c r="I73" s="4"/>
      <c r="J73" s="4"/>
      <c r="K73" s="4"/>
      <c r="L73" s="4"/>
      <c r="M73" s="4"/>
      <c r="N73" s="4"/>
      <c r="O73" s="4"/>
      <c r="P73" s="4"/>
      <c r="Q73" s="4"/>
      <c r="R73" s="4"/>
      <c r="S73" s="4"/>
      <c r="T73" s="4"/>
      <c r="U73" s="4"/>
      <c r="V73" s="4"/>
      <c r="W73" s="44"/>
      <c r="X73" s="2">
        <f t="shared" si="9"/>
        <v>0</v>
      </c>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64" s="127" customFormat="1" x14ac:dyDescent="0.3">
      <c r="A74" s="55" t="str">
        <f>Inputs!A75</f>
        <v>Distribution assets capital costs</v>
      </c>
      <c r="B74" s="5" t="str">
        <f t="shared" si="8"/>
        <v>NGN</v>
      </c>
      <c r="C74" s="4"/>
      <c r="D74" s="4"/>
      <c r="E74" s="4"/>
      <c r="F74" s="4"/>
      <c r="G74" s="4"/>
      <c r="H74" s="4"/>
      <c r="I74" s="4"/>
      <c r="J74" s="4"/>
      <c r="K74" s="4"/>
      <c r="L74" s="4"/>
      <c r="M74" s="4"/>
      <c r="N74" s="4"/>
      <c r="O74" s="4"/>
      <c r="P74" s="4"/>
      <c r="Q74" s="4"/>
      <c r="R74" s="4"/>
      <c r="S74" s="4"/>
      <c r="T74" s="4"/>
      <c r="U74" s="4"/>
      <c r="V74" s="4"/>
      <c r="W74" s="44"/>
      <c r="X74" s="2">
        <f t="shared" si="9"/>
        <v>0</v>
      </c>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64" s="127" customFormat="1" x14ac:dyDescent="0.3">
      <c r="A75" s="55" t="str">
        <f>Inputs!A76</f>
        <v>Transformers</v>
      </c>
      <c r="B75" s="5" t="str">
        <f t="shared" si="8"/>
        <v>NGN</v>
      </c>
      <c r="C75" s="4"/>
      <c r="D75" s="4"/>
      <c r="E75" s="4"/>
      <c r="F75" s="4"/>
      <c r="G75" s="4"/>
      <c r="H75" s="4"/>
      <c r="I75" s="4"/>
      <c r="J75" s="4"/>
      <c r="K75" s="4"/>
      <c r="L75" s="4"/>
      <c r="M75" s="4"/>
      <c r="N75" s="4"/>
      <c r="O75" s="4"/>
      <c r="P75" s="4"/>
      <c r="Q75" s="4"/>
      <c r="R75" s="4"/>
      <c r="S75" s="4"/>
      <c r="T75" s="4"/>
      <c r="U75" s="4"/>
      <c r="V75" s="4"/>
      <c r="W75" s="44"/>
      <c r="X75" s="2">
        <f t="shared" si="9"/>
        <v>0</v>
      </c>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row>
    <row r="76" spans="1:64" s="127" customFormat="1" x14ac:dyDescent="0.3">
      <c r="A76" s="55" t="str">
        <f>Inputs!A77</f>
        <v>Metering and termination</v>
      </c>
      <c r="B76" s="5" t="str">
        <f t="shared" si="8"/>
        <v>NGN</v>
      </c>
      <c r="C76" s="4"/>
      <c r="D76" s="4"/>
      <c r="E76" s="4"/>
      <c r="F76" s="4"/>
      <c r="G76" s="4"/>
      <c r="H76" s="4"/>
      <c r="I76" s="4"/>
      <c r="J76" s="4"/>
      <c r="K76" s="4"/>
      <c r="L76" s="4"/>
      <c r="M76" s="4"/>
      <c r="N76" s="4"/>
      <c r="O76" s="4"/>
      <c r="P76" s="4"/>
      <c r="Q76" s="4"/>
      <c r="R76" s="4"/>
      <c r="S76" s="4"/>
      <c r="T76" s="4"/>
      <c r="U76" s="4"/>
      <c r="V76" s="4"/>
      <c r="W76" s="44"/>
      <c r="X76" s="2">
        <f t="shared" si="9"/>
        <v>0</v>
      </c>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7" spans="1:64" s="127" customFormat="1" x14ac:dyDescent="0.3">
      <c r="A77" s="55">
        <f>Inputs!A78</f>
        <v>0</v>
      </c>
      <c r="B77" s="5" t="str">
        <f t="shared" si="8"/>
        <v>NGN</v>
      </c>
      <c r="C77" s="4"/>
      <c r="D77" s="4"/>
      <c r="E77" s="4"/>
      <c r="F77" s="4"/>
      <c r="G77" s="4"/>
      <c r="H77" s="4"/>
      <c r="I77" s="4"/>
      <c r="J77" s="4"/>
      <c r="K77" s="4"/>
      <c r="L77" s="4"/>
      <c r="M77" s="4"/>
      <c r="N77" s="4"/>
      <c r="O77" s="4"/>
      <c r="P77" s="4"/>
      <c r="Q77" s="4"/>
      <c r="R77" s="4"/>
      <c r="S77" s="4"/>
      <c r="T77" s="4"/>
      <c r="U77" s="4"/>
      <c r="V77" s="4"/>
      <c r="W77" s="44"/>
      <c r="X77" s="2">
        <f t="shared" si="9"/>
        <v>0</v>
      </c>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row>
    <row r="78" spans="1:64" s="127" customFormat="1" x14ac:dyDescent="0.3">
      <c r="A78" s="55">
        <f>Inputs!A79</f>
        <v>0</v>
      </c>
      <c r="B78" s="5" t="str">
        <f t="shared" si="8"/>
        <v>NGN</v>
      </c>
      <c r="C78" s="4"/>
      <c r="D78" s="4"/>
      <c r="E78" s="4"/>
      <c r="F78" s="4"/>
      <c r="G78" s="4"/>
      <c r="H78" s="4"/>
      <c r="I78" s="4"/>
      <c r="J78" s="4"/>
      <c r="K78" s="4"/>
      <c r="L78" s="4"/>
      <c r="M78" s="4"/>
      <c r="N78" s="4"/>
      <c r="O78" s="4"/>
      <c r="P78" s="4"/>
      <c r="Q78" s="4"/>
      <c r="R78" s="4"/>
      <c r="S78" s="4"/>
      <c r="T78" s="4"/>
      <c r="U78" s="4"/>
      <c r="V78" s="4"/>
      <c r="W78" s="44"/>
      <c r="X78" s="2">
        <f t="shared" si="9"/>
        <v>0</v>
      </c>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row>
    <row r="79" spans="1:64" s="127" customFormat="1" x14ac:dyDescent="0.3">
      <c r="A79" s="585" t="str">
        <f>Inputs!A80</f>
        <v>1.2.4 Biomass</v>
      </c>
      <c r="B79" s="586"/>
      <c r="C79" s="587"/>
      <c r="D79" s="44"/>
      <c r="E79" s="44"/>
      <c r="F79" s="44"/>
      <c r="G79" s="44"/>
      <c r="H79" s="44"/>
      <c r="I79" s="44"/>
      <c r="J79" s="44"/>
      <c r="K79" s="44"/>
      <c r="L79" s="44"/>
      <c r="M79" s="44"/>
      <c r="N79" s="44"/>
      <c r="O79" s="44"/>
      <c r="P79" s="44"/>
      <c r="Q79" s="44"/>
      <c r="R79" s="44"/>
      <c r="S79" s="44"/>
      <c r="T79" s="44"/>
      <c r="U79" s="44"/>
      <c r="V79" s="44"/>
      <c r="W79" s="44"/>
      <c r="X79" s="2"/>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row>
    <row r="80" spans="1:64" s="127" customFormat="1" x14ac:dyDescent="0.3">
      <c r="A80" s="55" t="str">
        <f>Inputs!A81</f>
        <v>Development costs</v>
      </c>
      <c r="B80" s="5" t="str">
        <f>Inputs!B81</f>
        <v>NGN</v>
      </c>
      <c r="C80" s="4"/>
      <c r="D80" s="4"/>
      <c r="E80" s="4"/>
      <c r="F80" s="4"/>
      <c r="G80" s="4"/>
      <c r="H80" s="4"/>
      <c r="I80" s="4"/>
      <c r="J80" s="4"/>
      <c r="K80" s="4"/>
      <c r="L80" s="4"/>
      <c r="M80" s="4"/>
      <c r="N80" s="4"/>
      <c r="O80" s="4"/>
      <c r="P80" s="4"/>
      <c r="Q80" s="4"/>
      <c r="R80" s="4"/>
      <c r="S80" s="4"/>
      <c r="T80" s="4"/>
      <c r="U80" s="4"/>
      <c r="V80" s="4"/>
      <c r="W80" s="44"/>
      <c r="X80" s="2">
        <f t="shared" si="9"/>
        <v>0</v>
      </c>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row>
    <row r="81" spans="1:64" s="127" customFormat="1" x14ac:dyDescent="0.3">
      <c r="A81" s="55" t="str">
        <f>Inputs!A82</f>
        <v>Land</v>
      </c>
      <c r="B81" s="5" t="str">
        <f>Inputs!B82</f>
        <v>NGN</v>
      </c>
      <c r="C81" s="4"/>
      <c r="D81" s="4"/>
      <c r="E81" s="4"/>
      <c r="F81" s="4"/>
      <c r="G81" s="4"/>
      <c r="H81" s="4"/>
      <c r="I81" s="4"/>
      <c r="J81" s="4"/>
      <c r="K81" s="4"/>
      <c r="L81" s="4"/>
      <c r="M81" s="4"/>
      <c r="N81" s="4"/>
      <c r="O81" s="4"/>
      <c r="P81" s="4"/>
      <c r="Q81" s="4"/>
      <c r="R81" s="4"/>
      <c r="S81" s="4"/>
      <c r="T81" s="4"/>
      <c r="U81" s="4"/>
      <c r="V81" s="4"/>
      <c r="W81" s="44"/>
      <c r="X81" s="2">
        <f t="shared" si="9"/>
        <v>0</v>
      </c>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64" s="127" customFormat="1" x14ac:dyDescent="0.3">
      <c r="A82" s="55" t="str">
        <f>Inputs!A83</f>
        <v xml:space="preserve">Fuel storage and handling equipment, </v>
      </c>
      <c r="B82" s="5" t="str">
        <f>Inputs!B83</f>
        <v>NGN</v>
      </c>
      <c r="C82" s="4"/>
      <c r="D82" s="4"/>
      <c r="E82" s="4"/>
      <c r="F82" s="4"/>
      <c r="G82" s="4"/>
      <c r="H82" s="4"/>
      <c r="I82" s="4"/>
      <c r="J82" s="4"/>
      <c r="K82" s="4"/>
      <c r="L82" s="4"/>
      <c r="M82" s="4"/>
      <c r="N82" s="4"/>
      <c r="O82" s="4"/>
      <c r="P82" s="4"/>
      <c r="Q82" s="4"/>
      <c r="R82" s="4"/>
      <c r="S82" s="4"/>
      <c r="T82" s="4"/>
      <c r="U82" s="4"/>
      <c r="V82" s="4"/>
      <c r="W82" s="44"/>
      <c r="X82" s="2">
        <f t="shared" si="9"/>
        <v>0</v>
      </c>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row>
    <row r="83" spans="1:64" s="127" customFormat="1" x14ac:dyDescent="0.3">
      <c r="A83" s="55" t="str">
        <f>Inputs!A84</f>
        <v>Combustor/furnace/Boiler/gasfier</v>
      </c>
      <c r="B83" s="5" t="str">
        <f>Inputs!B84</f>
        <v>NGN</v>
      </c>
      <c r="C83" s="4"/>
      <c r="D83" s="4"/>
      <c r="E83" s="4"/>
      <c r="F83" s="4"/>
      <c r="G83" s="4"/>
      <c r="H83" s="4"/>
      <c r="I83" s="4"/>
      <c r="J83" s="4"/>
      <c r="K83" s="4"/>
      <c r="L83" s="4"/>
      <c r="M83" s="4"/>
      <c r="N83" s="4"/>
      <c r="O83" s="4"/>
      <c r="P83" s="4"/>
      <c r="Q83" s="4"/>
      <c r="R83" s="4"/>
      <c r="S83" s="4"/>
      <c r="T83" s="4"/>
      <c r="U83" s="4"/>
      <c r="V83" s="4"/>
      <c r="W83" s="44"/>
      <c r="X83" s="2">
        <f t="shared" si="9"/>
        <v>0</v>
      </c>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row>
    <row r="84" spans="1:64" s="127" customFormat="1" x14ac:dyDescent="0.3">
      <c r="A84" s="55" t="str">
        <f>Inputs!A85</f>
        <v>Steam turbine/Generator/Condenser/Cooling tower</v>
      </c>
      <c r="B84" s="5" t="str">
        <f>Inputs!B85</f>
        <v>NGN</v>
      </c>
      <c r="C84" s="4"/>
      <c r="D84" s="4"/>
      <c r="E84" s="4"/>
      <c r="F84" s="4"/>
      <c r="G84" s="4"/>
      <c r="H84" s="4"/>
      <c r="I84" s="4"/>
      <c r="J84" s="4"/>
      <c r="K84" s="4"/>
      <c r="L84" s="4"/>
      <c r="M84" s="4"/>
      <c r="N84" s="4"/>
      <c r="O84" s="4"/>
      <c r="P84" s="4"/>
      <c r="Q84" s="4"/>
      <c r="R84" s="4"/>
      <c r="S84" s="4"/>
      <c r="T84" s="4"/>
      <c r="U84" s="4"/>
      <c r="V84" s="4"/>
      <c r="W84" s="44"/>
      <c r="X84" s="2">
        <f t="shared" si="9"/>
        <v>0</v>
      </c>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row>
    <row r="85" spans="1:64" s="127" customFormat="1" x14ac:dyDescent="0.3">
      <c r="A85" s="55" t="str">
        <f>Inputs!A86</f>
        <v>Balance of system</v>
      </c>
      <c r="B85" s="5" t="str">
        <f>Inputs!B86</f>
        <v>NGN</v>
      </c>
      <c r="C85" s="4"/>
      <c r="D85" s="4"/>
      <c r="E85" s="4"/>
      <c r="F85" s="4"/>
      <c r="G85" s="4"/>
      <c r="H85" s="4"/>
      <c r="I85" s="4"/>
      <c r="J85" s="4"/>
      <c r="K85" s="4"/>
      <c r="L85" s="4"/>
      <c r="M85" s="4"/>
      <c r="N85" s="4"/>
      <c r="O85" s="4"/>
      <c r="P85" s="4"/>
      <c r="Q85" s="4"/>
      <c r="R85" s="4"/>
      <c r="S85" s="4"/>
      <c r="T85" s="4"/>
      <c r="U85" s="4"/>
      <c r="V85" s="4"/>
      <c r="W85" s="44"/>
      <c r="X85" s="2">
        <f t="shared" si="9"/>
        <v>0</v>
      </c>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row>
    <row r="86" spans="1:64" s="127" customFormat="1" x14ac:dyDescent="0.3">
      <c r="A86" s="55" t="str">
        <f>Inputs!A87</f>
        <v>Civil works and foundations</v>
      </c>
      <c r="B86" s="5" t="str">
        <f>Inputs!B87</f>
        <v>NGN</v>
      </c>
      <c r="C86" s="4"/>
      <c r="D86" s="4"/>
      <c r="E86" s="4"/>
      <c r="F86" s="4"/>
      <c r="G86" s="4"/>
      <c r="H86" s="4"/>
      <c r="I86" s="4"/>
      <c r="J86" s="4"/>
      <c r="K86" s="4"/>
      <c r="L86" s="4"/>
      <c r="M86" s="4"/>
      <c r="N86" s="4"/>
      <c r="O86" s="4"/>
      <c r="P86" s="4"/>
      <c r="Q86" s="4"/>
      <c r="R86" s="4"/>
      <c r="S86" s="4"/>
      <c r="T86" s="4"/>
      <c r="U86" s="4"/>
      <c r="V86" s="4"/>
      <c r="W86" s="44"/>
      <c r="X86" s="2">
        <f t="shared" si="9"/>
        <v>0</v>
      </c>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row>
    <row r="87" spans="1:64" s="127" customFormat="1" x14ac:dyDescent="0.3">
      <c r="A87" s="55" t="str">
        <f>Inputs!A88</f>
        <v>Powerhouse</v>
      </c>
      <c r="B87" s="5" t="str">
        <f>Inputs!B88</f>
        <v>NGN</v>
      </c>
      <c r="C87" s="4"/>
      <c r="D87" s="4"/>
      <c r="E87" s="4"/>
      <c r="F87" s="4"/>
      <c r="G87" s="4"/>
      <c r="H87" s="4"/>
      <c r="I87" s="4"/>
      <c r="J87" s="4"/>
      <c r="K87" s="4"/>
      <c r="L87" s="4"/>
      <c r="M87" s="4"/>
      <c r="N87" s="4"/>
      <c r="O87" s="4"/>
      <c r="P87" s="4"/>
      <c r="Q87" s="4"/>
      <c r="R87" s="4"/>
      <c r="S87" s="4"/>
      <c r="T87" s="4"/>
      <c r="U87" s="4"/>
      <c r="V87" s="4"/>
      <c r="W87" s="44"/>
      <c r="X87" s="2">
        <f t="shared" si="9"/>
        <v>0</v>
      </c>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row>
    <row r="88" spans="1:64" s="127" customFormat="1" x14ac:dyDescent="0.3">
      <c r="A88" s="55" t="str">
        <f>Inputs!A89</f>
        <v>Logistics, transport, warehousing</v>
      </c>
      <c r="B88" s="5" t="str">
        <f>Inputs!B89</f>
        <v>NGN</v>
      </c>
      <c r="C88" s="4"/>
      <c r="D88" s="4"/>
      <c r="E88" s="4"/>
      <c r="F88" s="4"/>
      <c r="G88" s="4"/>
      <c r="H88" s="4"/>
      <c r="I88" s="4"/>
      <c r="J88" s="4"/>
      <c r="K88" s="4"/>
      <c r="L88" s="4"/>
      <c r="M88" s="4"/>
      <c r="N88" s="4"/>
      <c r="O88" s="4"/>
      <c r="P88" s="4"/>
      <c r="Q88" s="4"/>
      <c r="R88" s="4"/>
      <c r="S88" s="4"/>
      <c r="T88" s="4"/>
      <c r="U88" s="4"/>
      <c r="V88" s="4"/>
      <c r="W88" s="44"/>
      <c r="X88" s="2">
        <f t="shared" si="9"/>
        <v>0</v>
      </c>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row>
    <row r="89" spans="1:64" s="127" customFormat="1" x14ac:dyDescent="0.3">
      <c r="A89" s="55" t="str">
        <f>Inputs!A90</f>
        <v>Custom duties</v>
      </c>
      <c r="B89" s="5" t="str">
        <f>Inputs!B90</f>
        <v>NGN</v>
      </c>
      <c r="C89" s="4"/>
      <c r="D89" s="4"/>
      <c r="E89" s="4"/>
      <c r="F89" s="4"/>
      <c r="G89" s="4"/>
      <c r="H89" s="4"/>
      <c r="I89" s="4"/>
      <c r="J89" s="4"/>
      <c r="K89" s="4"/>
      <c r="L89" s="4"/>
      <c r="M89" s="4"/>
      <c r="N89" s="4"/>
      <c r="O89" s="4"/>
      <c r="P89" s="4"/>
      <c r="Q89" s="4"/>
      <c r="R89" s="4"/>
      <c r="S89" s="4"/>
      <c r="T89" s="4"/>
      <c r="U89" s="4"/>
      <c r="V89" s="4"/>
      <c r="W89" s="44"/>
      <c r="X89" s="2">
        <f t="shared" si="9"/>
        <v>0</v>
      </c>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row>
    <row r="90" spans="1:64" s="127" customFormat="1" x14ac:dyDescent="0.3">
      <c r="A90" s="55" t="str">
        <f>Inputs!A91</f>
        <v>VAT</v>
      </c>
      <c r="B90" s="5" t="str">
        <f>Inputs!B91</f>
        <v>NGN</v>
      </c>
      <c r="C90" s="4"/>
      <c r="D90" s="4"/>
      <c r="E90" s="4"/>
      <c r="F90" s="4"/>
      <c r="G90" s="4"/>
      <c r="H90" s="4"/>
      <c r="I90" s="4"/>
      <c r="J90" s="4"/>
      <c r="K90" s="4"/>
      <c r="L90" s="4"/>
      <c r="M90" s="4"/>
      <c r="N90" s="4"/>
      <c r="O90" s="4"/>
      <c r="P90" s="4"/>
      <c r="Q90" s="4"/>
      <c r="R90" s="4"/>
      <c r="S90" s="4"/>
      <c r="T90" s="4"/>
      <c r="U90" s="4"/>
      <c r="V90" s="4"/>
      <c r="W90" s="44"/>
      <c r="X90" s="2">
        <f t="shared" si="9"/>
        <v>0</v>
      </c>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row>
    <row r="91" spans="1:64" s="127" customFormat="1" x14ac:dyDescent="0.3">
      <c r="A91" s="55" t="str">
        <f>Inputs!A92</f>
        <v>Installation and inspection</v>
      </c>
      <c r="B91" s="5" t="str">
        <f>Inputs!B92</f>
        <v>NGN</v>
      </c>
      <c r="C91" s="4"/>
      <c r="D91" s="4"/>
      <c r="E91" s="4"/>
      <c r="F91" s="4"/>
      <c r="G91" s="4"/>
      <c r="H91" s="4"/>
      <c r="I91" s="4"/>
      <c r="J91" s="4"/>
      <c r="K91" s="4"/>
      <c r="L91" s="4"/>
      <c r="M91" s="4"/>
      <c r="N91" s="4"/>
      <c r="O91" s="4"/>
      <c r="P91" s="4"/>
      <c r="Q91" s="4"/>
      <c r="R91" s="4"/>
      <c r="S91" s="4"/>
      <c r="T91" s="4"/>
      <c r="U91" s="4"/>
      <c r="V91" s="4"/>
      <c r="W91" s="44"/>
      <c r="X91" s="2">
        <f t="shared" si="9"/>
        <v>0</v>
      </c>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row>
    <row r="92" spans="1:64" s="127" customFormat="1" x14ac:dyDescent="0.3">
      <c r="A92" s="55" t="str">
        <f>Inputs!A93</f>
        <v>Distribution assets</v>
      </c>
      <c r="B92" s="5" t="str">
        <f>Inputs!B93</f>
        <v>NGN</v>
      </c>
      <c r="C92" s="4"/>
      <c r="D92" s="4"/>
      <c r="E92" s="4"/>
      <c r="F92" s="4"/>
      <c r="G92" s="4"/>
      <c r="H92" s="4"/>
      <c r="I92" s="4"/>
      <c r="J92" s="4"/>
      <c r="K92" s="4"/>
      <c r="L92" s="4"/>
      <c r="M92" s="4"/>
      <c r="N92" s="4"/>
      <c r="O92" s="4"/>
      <c r="P92" s="4"/>
      <c r="Q92" s="4"/>
      <c r="R92" s="4"/>
      <c r="S92" s="4"/>
      <c r="T92" s="4"/>
      <c r="U92" s="4"/>
      <c r="V92" s="4"/>
      <c r="W92" s="44"/>
      <c r="X92" s="2">
        <f t="shared" si="9"/>
        <v>0</v>
      </c>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row>
    <row r="93" spans="1:64" s="127" customFormat="1" x14ac:dyDescent="0.3">
      <c r="A93" s="55" t="str">
        <f>Inputs!A94</f>
        <v>Transformers</v>
      </c>
      <c r="B93" s="5" t="str">
        <f>Inputs!B94</f>
        <v>NGN</v>
      </c>
      <c r="C93" s="4"/>
      <c r="D93" s="4"/>
      <c r="E93" s="4"/>
      <c r="F93" s="4"/>
      <c r="G93" s="4"/>
      <c r="H93" s="4"/>
      <c r="I93" s="4"/>
      <c r="J93" s="4"/>
      <c r="K93" s="4"/>
      <c r="L93" s="4"/>
      <c r="M93" s="4"/>
      <c r="N93" s="4"/>
      <c r="O93" s="4"/>
      <c r="P93" s="4"/>
      <c r="Q93" s="4"/>
      <c r="R93" s="4"/>
      <c r="S93" s="4"/>
      <c r="T93" s="4"/>
      <c r="U93" s="4"/>
      <c r="V93" s="4"/>
      <c r="W93" s="44"/>
      <c r="X93" s="2">
        <f t="shared" si="9"/>
        <v>0</v>
      </c>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row>
    <row r="94" spans="1:64" s="127" customFormat="1" x14ac:dyDescent="0.3">
      <c r="A94" s="55" t="str">
        <f>Inputs!A95</f>
        <v>Metering and termination</v>
      </c>
      <c r="B94" s="5" t="str">
        <f>Inputs!B95</f>
        <v>NGN</v>
      </c>
      <c r="C94" s="4"/>
      <c r="D94" s="4"/>
      <c r="E94" s="4"/>
      <c r="F94" s="4"/>
      <c r="G94" s="4"/>
      <c r="H94" s="4"/>
      <c r="I94" s="4"/>
      <c r="J94" s="4"/>
      <c r="K94" s="4"/>
      <c r="L94" s="4"/>
      <c r="M94" s="4"/>
      <c r="N94" s="4"/>
      <c r="O94" s="4"/>
      <c r="P94" s="4"/>
      <c r="Q94" s="4"/>
      <c r="R94" s="4"/>
      <c r="S94" s="4"/>
      <c r="T94" s="4"/>
      <c r="U94" s="4"/>
      <c r="V94" s="4"/>
      <c r="W94" s="44"/>
      <c r="X94" s="2">
        <f t="shared" si="9"/>
        <v>0</v>
      </c>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row>
    <row r="95" spans="1:64" s="127" customFormat="1" x14ac:dyDescent="0.3">
      <c r="A95" s="55">
        <f>Inputs!A96</f>
        <v>0</v>
      </c>
      <c r="B95" s="5" t="str">
        <f>Inputs!B96</f>
        <v>NGN</v>
      </c>
      <c r="C95" s="4"/>
      <c r="D95" s="4"/>
      <c r="E95" s="4"/>
      <c r="F95" s="4"/>
      <c r="G95" s="4"/>
      <c r="H95" s="4"/>
      <c r="I95" s="4"/>
      <c r="J95" s="4"/>
      <c r="K95" s="4"/>
      <c r="L95" s="4"/>
      <c r="M95" s="4"/>
      <c r="N95" s="4"/>
      <c r="O95" s="4"/>
      <c r="P95" s="4"/>
      <c r="Q95" s="4"/>
      <c r="R95" s="4"/>
      <c r="S95" s="4"/>
      <c r="T95" s="4"/>
      <c r="U95" s="4"/>
      <c r="V95" s="4"/>
      <c r="W95" s="44"/>
      <c r="X95" s="2">
        <f t="shared" si="9"/>
        <v>0</v>
      </c>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row>
    <row r="96" spans="1:64" s="127" customFormat="1" x14ac:dyDescent="0.3">
      <c r="A96" s="55">
        <f>Inputs!A97</f>
        <v>0</v>
      </c>
      <c r="B96" s="5" t="str">
        <f>Inputs!B97</f>
        <v>NGN</v>
      </c>
      <c r="C96" s="4"/>
      <c r="D96" s="4"/>
      <c r="E96" s="4"/>
      <c r="F96" s="4"/>
      <c r="G96" s="4"/>
      <c r="H96" s="4"/>
      <c r="I96" s="4"/>
      <c r="J96" s="4"/>
      <c r="K96" s="4"/>
      <c r="L96" s="4"/>
      <c r="M96" s="4"/>
      <c r="N96" s="4"/>
      <c r="O96" s="4"/>
      <c r="P96" s="4"/>
      <c r="Q96" s="4"/>
      <c r="R96" s="4"/>
      <c r="S96" s="4"/>
      <c r="T96" s="4"/>
      <c r="U96" s="4"/>
      <c r="V96" s="4"/>
      <c r="W96" s="44"/>
      <c r="X96" s="2">
        <f t="shared" si="9"/>
        <v>0</v>
      </c>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row>
    <row r="97" spans="1:43" s="47" customFormat="1" x14ac:dyDescent="0.3">
      <c r="A97" s="585" t="str">
        <f>Inputs!A98</f>
        <v>1.2.5 Floating Biogas</v>
      </c>
      <c r="B97" s="586"/>
      <c r="C97" s="587"/>
      <c r="D97" s="44"/>
      <c r="E97" s="44"/>
      <c r="F97" s="44"/>
      <c r="G97" s="75"/>
      <c r="H97" s="75"/>
      <c r="I97" s="75"/>
      <c r="J97" s="75"/>
      <c r="K97" s="75"/>
      <c r="L97" s="75"/>
      <c r="M97" s="75"/>
      <c r="N97" s="75"/>
      <c r="O97" s="75"/>
      <c r="P97" s="75"/>
      <c r="Q97" s="75"/>
      <c r="R97" s="75"/>
      <c r="S97" s="75"/>
      <c r="T97" s="75"/>
      <c r="U97" s="75"/>
      <c r="V97" s="75"/>
      <c r="W97" s="75"/>
      <c r="X97" s="13"/>
      <c r="Y97" s="75"/>
      <c r="Z97" s="75"/>
      <c r="AA97" s="75"/>
      <c r="AB97" s="75"/>
      <c r="AC97" s="75"/>
      <c r="AD97" s="75"/>
      <c r="AE97" s="76"/>
      <c r="AF97" s="76"/>
      <c r="AG97" s="76"/>
      <c r="AH97" s="61"/>
      <c r="AI97" s="61"/>
      <c r="AJ97" s="61"/>
      <c r="AK97" s="61"/>
      <c r="AL97" s="61"/>
      <c r="AM97" s="61"/>
      <c r="AN97" s="61"/>
      <c r="AO97" s="61"/>
      <c r="AP97" s="61"/>
      <c r="AQ97" s="61"/>
    </row>
    <row r="98" spans="1:43" s="74" customFormat="1" x14ac:dyDescent="0.3">
      <c r="A98" s="55" t="s">
        <v>28</v>
      </c>
      <c r="B98" s="5" t="str">
        <f>B23</f>
        <v>NGN</v>
      </c>
      <c r="C98" s="4"/>
      <c r="D98" s="4"/>
      <c r="E98" s="4"/>
      <c r="F98" s="4"/>
      <c r="G98" s="4"/>
      <c r="H98" s="4"/>
      <c r="I98" s="4"/>
      <c r="J98" s="4"/>
      <c r="K98" s="4"/>
      <c r="L98" s="4"/>
      <c r="M98" s="4"/>
      <c r="N98" s="4"/>
      <c r="O98" s="4"/>
      <c r="P98" s="4"/>
      <c r="Q98" s="4"/>
      <c r="R98" s="4"/>
      <c r="S98" s="4"/>
      <c r="T98" s="4"/>
      <c r="U98" s="4"/>
      <c r="V98" s="4"/>
      <c r="W98" s="75"/>
      <c r="X98" s="2">
        <f t="shared" si="9"/>
        <v>0</v>
      </c>
      <c r="Y98" s="75"/>
      <c r="Z98" s="75"/>
      <c r="AA98" s="75"/>
      <c r="AB98" s="75"/>
      <c r="AC98" s="75"/>
      <c r="AD98" s="75"/>
      <c r="AE98" s="76"/>
      <c r="AF98" s="76"/>
      <c r="AG98" s="76"/>
      <c r="AH98" s="75"/>
      <c r="AI98" s="75"/>
      <c r="AJ98" s="75"/>
      <c r="AK98" s="75"/>
      <c r="AL98" s="75"/>
      <c r="AM98" s="75"/>
      <c r="AN98" s="75"/>
      <c r="AO98" s="75"/>
      <c r="AP98" s="75"/>
      <c r="AQ98" s="75"/>
    </row>
    <row r="99" spans="1:43" s="74" customFormat="1" x14ac:dyDescent="0.3">
      <c r="A99" s="55" t="s">
        <v>44</v>
      </c>
      <c r="B99" s="5" t="str">
        <f>B23</f>
        <v>NGN</v>
      </c>
      <c r="C99" s="4"/>
      <c r="D99" s="4"/>
      <c r="E99" s="4"/>
      <c r="F99" s="4"/>
      <c r="G99" s="4"/>
      <c r="H99" s="4"/>
      <c r="I99" s="4"/>
      <c r="J99" s="4"/>
      <c r="K99" s="4"/>
      <c r="L99" s="4"/>
      <c r="M99" s="4"/>
      <c r="N99" s="4"/>
      <c r="O99" s="4"/>
      <c r="P99" s="4"/>
      <c r="Q99" s="4"/>
      <c r="R99" s="4"/>
      <c r="S99" s="4"/>
      <c r="T99" s="4"/>
      <c r="U99" s="4"/>
      <c r="V99" s="4"/>
      <c r="W99" s="75"/>
      <c r="X99" s="2">
        <f t="shared" si="9"/>
        <v>0</v>
      </c>
      <c r="Y99" s="75"/>
      <c r="Z99" s="75"/>
      <c r="AA99" s="75"/>
      <c r="AB99" s="75"/>
      <c r="AC99" s="75"/>
      <c r="AD99" s="75"/>
      <c r="AE99" s="76"/>
      <c r="AF99" s="76"/>
      <c r="AG99" s="76"/>
      <c r="AH99" s="75"/>
      <c r="AI99" s="75"/>
      <c r="AJ99" s="75"/>
      <c r="AK99" s="75"/>
      <c r="AL99" s="75"/>
      <c r="AM99" s="75"/>
      <c r="AN99" s="75"/>
      <c r="AO99" s="75"/>
      <c r="AP99" s="75"/>
      <c r="AQ99" s="75"/>
    </row>
    <row r="100" spans="1:43" s="74" customFormat="1" x14ac:dyDescent="0.3">
      <c r="A100" s="55" t="s">
        <v>315</v>
      </c>
      <c r="B100" s="5" t="str">
        <f>B23</f>
        <v>NGN</v>
      </c>
      <c r="C100" s="4"/>
      <c r="D100" s="4"/>
      <c r="E100" s="4"/>
      <c r="F100" s="4"/>
      <c r="G100" s="4"/>
      <c r="H100" s="4"/>
      <c r="I100" s="4"/>
      <c r="J100" s="4"/>
      <c r="K100" s="4"/>
      <c r="L100" s="4"/>
      <c r="M100" s="4"/>
      <c r="N100" s="4"/>
      <c r="O100" s="4"/>
      <c r="P100" s="4"/>
      <c r="Q100" s="4"/>
      <c r="R100" s="4"/>
      <c r="S100" s="4"/>
      <c r="T100" s="4"/>
      <c r="U100" s="4"/>
      <c r="V100" s="4"/>
      <c r="W100" s="75"/>
      <c r="X100" s="2">
        <f t="shared" si="9"/>
        <v>0</v>
      </c>
      <c r="Y100" s="75"/>
      <c r="Z100" s="75"/>
      <c r="AA100" s="75"/>
      <c r="AB100" s="75"/>
      <c r="AC100" s="75"/>
      <c r="AD100" s="75"/>
      <c r="AE100" s="76"/>
      <c r="AF100" s="76"/>
      <c r="AG100" s="76"/>
      <c r="AH100" s="75"/>
      <c r="AI100" s="75"/>
      <c r="AJ100" s="75"/>
      <c r="AK100" s="75"/>
      <c r="AL100" s="75"/>
      <c r="AM100" s="75"/>
      <c r="AN100" s="75"/>
      <c r="AO100" s="75"/>
      <c r="AP100" s="75"/>
      <c r="AQ100" s="75"/>
    </row>
    <row r="101" spans="1:43" s="74" customFormat="1" x14ac:dyDescent="0.3">
      <c r="A101" s="55" t="s">
        <v>316</v>
      </c>
      <c r="B101" s="5" t="str">
        <f>B23</f>
        <v>NGN</v>
      </c>
      <c r="C101" s="4"/>
      <c r="D101" s="4"/>
      <c r="E101" s="4"/>
      <c r="F101" s="4"/>
      <c r="G101" s="4"/>
      <c r="H101" s="4"/>
      <c r="I101" s="4"/>
      <c r="J101" s="4"/>
      <c r="K101" s="4"/>
      <c r="L101" s="4"/>
      <c r="M101" s="4"/>
      <c r="N101" s="4"/>
      <c r="O101" s="4"/>
      <c r="P101" s="4"/>
      <c r="Q101" s="4"/>
      <c r="R101" s="4"/>
      <c r="S101" s="4"/>
      <c r="T101" s="4"/>
      <c r="U101" s="4"/>
      <c r="V101" s="4"/>
      <c r="W101" s="75"/>
      <c r="X101" s="2">
        <f t="shared" si="9"/>
        <v>0</v>
      </c>
      <c r="Y101" s="75"/>
      <c r="Z101" s="75"/>
      <c r="AA101" s="75"/>
      <c r="AB101" s="75"/>
      <c r="AC101" s="75"/>
      <c r="AD101" s="75"/>
      <c r="AE101" s="76"/>
      <c r="AF101" s="76"/>
      <c r="AG101" s="76"/>
      <c r="AH101" s="75"/>
      <c r="AI101" s="75"/>
      <c r="AJ101" s="75"/>
      <c r="AK101" s="75"/>
      <c r="AL101" s="75"/>
      <c r="AM101" s="75"/>
      <c r="AN101" s="75"/>
      <c r="AO101" s="75"/>
      <c r="AP101" s="75"/>
      <c r="AQ101" s="75"/>
    </row>
    <row r="102" spans="1:43" s="74" customFormat="1" x14ac:dyDescent="0.3">
      <c r="A102" s="55" t="s">
        <v>314</v>
      </c>
      <c r="B102" s="5" t="str">
        <f>B23</f>
        <v>NGN</v>
      </c>
      <c r="C102" s="4"/>
      <c r="D102" s="4"/>
      <c r="E102" s="4"/>
      <c r="F102" s="4"/>
      <c r="G102" s="4"/>
      <c r="H102" s="4"/>
      <c r="I102" s="4"/>
      <c r="J102" s="4"/>
      <c r="K102" s="4"/>
      <c r="L102" s="4"/>
      <c r="M102" s="4"/>
      <c r="N102" s="4"/>
      <c r="O102" s="4"/>
      <c r="P102" s="4"/>
      <c r="Q102" s="4"/>
      <c r="R102" s="4"/>
      <c r="S102" s="4"/>
      <c r="T102" s="4"/>
      <c r="U102" s="4"/>
      <c r="V102" s="4"/>
      <c r="W102" s="75"/>
      <c r="X102" s="2">
        <f t="shared" si="9"/>
        <v>0</v>
      </c>
      <c r="Y102" s="75"/>
      <c r="Z102" s="75"/>
      <c r="AA102" s="75"/>
      <c r="AB102" s="75"/>
      <c r="AC102" s="75"/>
      <c r="AD102" s="75"/>
      <c r="AE102" s="76"/>
      <c r="AF102" s="76"/>
      <c r="AG102" s="76"/>
      <c r="AH102" s="75"/>
      <c r="AI102" s="75"/>
      <c r="AJ102" s="75"/>
      <c r="AK102" s="75"/>
      <c r="AL102" s="75"/>
      <c r="AM102" s="75"/>
      <c r="AN102" s="75"/>
      <c r="AO102" s="75"/>
      <c r="AP102" s="75"/>
      <c r="AQ102" s="75"/>
    </row>
    <row r="103" spans="1:43" s="74" customFormat="1" x14ac:dyDescent="0.3">
      <c r="A103" s="55" t="s">
        <v>12</v>
      </c>
      <c r="B103" s="5" t="str">
        <f>B23</f>
        <v>NGN</v>
      </c>
      <c r="C103" s="4"/>
      <c r="D103" s="4"/>
      <c r="E103" s="4"/>
      <c r="F103" s="4"/>
      <c r="G103" s="4"/>
      <c r="H103" s="4"/>
      <c r="I103" s="4"/>
      <c r="J103" s="4"/>
      <c r="K103" s="4"/>
      <c r="L103" s="4"/>
      <c r="M103" s="4"/>
      <c r="N103" s="4"/>
      <c r="O103" s="4"/>
      <c r="P103" s="4"/>
      <c r="Q103" s="4"/>
      <c r="R103" s="4"/>
      <c r="S103" s="4"/>
      <c r="T103" s="4"/>
      <c r="U103" s="4"/>
      <c r="V103" s="4"/>
      <c r="W103" s="75"/>
      <c r="X103" s="2">
        <f t="shared" si="9"/>
        <v>0</v>
      </c>
      <c r="Y103" s="75"/>
      <c r="Z103" s="75"/>
      <c r="AA103" s="75"/>
      <c r="AB103" s="75"/>
      <c r="AC103" s="75"/>
      <c r="AD103" s="75"/>
      <c r="AE103" s="76"/>
      <c r="AF103" s="76"/>
      <c r="AG103" s="76"/>
      <c r="AH103" s="75"/>
      <c r="AI103" s="75"/>
      <c r="AJ103" s="75"/>
      <c r="AK103" s="75"/>
      <c r="AL103" s="75"/>
      <c r="AM103" s="75"/>
      <c r="AN103" s="75"/>
      <c r="AO103" s="75"/>
      <c r="AP103" s="75"/>
      <c r="AQ103" s="75"/>
    </row>
    <row r="104" spans="1:43" s="74" customFormat="1" x14ac:dyDescent="0.3">
      <c r="A104" s="55" t="s">
        <v>42</v>
      </c>
      <c r="B104" s="5" t="str">
        <f>B23</f>
        <v>NGN</v>
      </c>
      <c r="C104" s="4"/>
      <c r="D104" s="4"/>
      <c r="E104" s="4"/>
      <c r="F104" s="4"/>
      <c r="G104" s="4"/>
      <c r="H104" s="4"/>
      <c r="I104" s="4"/>
      <c r="J104" s="4"/>
      <c r="K104" s="4"/>
      <c r="L104" s="4"/>
      <c r="M104" s="4"/>
      <c r="N104" s="4"/>
      <c r="O104" s="4"/>
      <c r="P104" s="4"/>
      <c r="Q104" s="4"/>
      <c r="R104" s="4"/>
      <c r="S104" s="4"/>
      <c r="T104" s="4"/>
      <c r="U104" s="4"/>
      <c r="V104" s="4"/>
      <c r="W104" s="75"/>
      <c r="X104" s="2">
        <f t="shared" si="9"/>
        <v>0</v>
      </c>
      <c r="Y104" s="75"/>
      <c r="Z104" s="75"/>
      <c r="AA104" s="75"/>
      <c r="AB104" s="75"/>
      <c r="AC104" s="75"/>
      <c r="AD104" s="75"/>
      <c r="AE104" s="76"/>
      <c r="AF104" s="76"/>
      <c r="AG104" s="76"/>
      <c r="AH104" s="75"/>
      <c r="AI104" s="75"/>
      <c r="AJ104" s="75"/>
      <c r="AK104" s="75"/>
      <c r="AL104" s="75"/>
      <c r="AM104" s="75"/>
      <c r="AN104" s="75"/>
      <c r="AO104" s="75"/>
      <c r="AP104" s="75"/>
      <c r="AQ104" s="75"/>
    </row>
    <row r="105" spans="1:43" s="74" customFormat="1" x14ac:dyDescent="0.3">
      <c r="A105" s="55" t="s">
        <v>35</v>
      </c>
      <c r="B105" s="5" t="str">
        <f>B23</f>
        <v>NGN</v>
      </c>
      <c r="C105" s="4"/>
      <c r="D105" s="4"/>
      <c r="E105" s="4"/>
      <c r="F105" s="4"/>
      <c r="G105" s="4"/>
      <c r="H105" s="4"/>
      <c r="I105" s="4"/>
      <c r="J105" s="4"/>
      <c r="K105" s="4"/>
      <c r="L105" s="4"/>
      <c r="M105" s="4"/>
      <c r="N105" s="4"/>
      <c r="O105" s="4"/>
      <c r="P105" s="4"/>
      <c r="Q105" s="4"/>
      <c r="R105" s="4"/>
      <c r="S105" s="4"/>
      <c r="T105" s="4"/>
      <c r="U105" s="4"/>
      <c r="V105" s="4"/>
      <c r="W105" s="75"/>
      <c r="X105" s="2">
        <f t="shared" si="9"/>
        <v>0</v>
      </c>
      <c r="Y105" s="75"/>
      <c r="Z105" s="75"/>
      <c r="AA105" s="75"/>
      <c r="AB105" s="75"/>
      <c r="AC105" s="75"/>
      <c r="AD105" s="75"/>
      <c r="AE105" s="76"/>
      <c r="AF105" s="76"/>
      <c r="AG105" s="76"/>
      <c r="AH105" s="75"/>
      <c r="AI105" s="75"/>
      <c r="AJ105" s="75"/>
      <c r="AK105" s="75"/>
      <c r="AL105" s="75"/>
      <c r="AM105" s="75"/>
      <c r="AN105" s="75"/>
      <c r="AO105" s="75"/>
      <c r="AP105" s="75"/>
      <c r="AQ105" s="75"/>
    </row>
    <row r="106" spans="1:43" s="74" customFormat="1" x14ac:dyDescent="0.3">
      <c r="A106" s="55" t="s">
        <v>10</v>
      </c>
      <c r="B106" s="5" t="str">
        <f>B23</f>
        <v>NGN</v>
      </c>
      <c r="C106" s="4"/>
      <c r="D106" s="4"/>
      <c r="E106" s="4"/>
      <c r="F106" s="4"/>
      <c r="G106" s="4"/>
      <c r="H106" s="4"/>
      <c r="I106" s="4"/>
      <c r="J106" s="4"/>
      <c r="K106" s="4"/>
      <c r="L106" s="4"/>
      <c r="M106" s="4"/>
      <c r="N106" s="4"/>
      <c r="O106" s="4"/>
      <c r="P106" s="4"/>
      <c r="Q106" s="4"/>
      <c r="R106" s="4"/>
      <c r="S106" s="4"/>
      <c r="T106" s="4"/>
      <c r="U106" s="4"/>
      <c r="V106" s="4"/>
      <c r="W106" s="75"/>
      <c r="X106" s="2">
        <f t="shared" si="9"/>
        <v>0</v>
      </c>
      <c r="Y106" s="75"/>
      <c r="Z106" s="75"/>
      <c r="AA106" s="75"/>
      <c r="AB106" s="75"/>
      <c r="AC106" s="75"/>
      <c r="AD106" s="75"/>
      <c r="AE106" s="76"/>
      <c r="AF106" s="76"/>
      <c r="AG106" s="76"/>
      <c r="AH106" s="75"/>
      <c r="AI106" s="75"/>
      <c r="AJ106" s="75"/>
      <c r="AK106" s="75"/>
      <c r="AL106" s="75"/>
      <c r="AM106" s="75"/>
      <c r="AN106" s="75"/>
      <c r="AO106" s="75"/>
      <c r="AP106" s="75"/>
      <c r="AQ106" s="75"/>
    </row>
    <row r="107" spans="1:43" s="74" customFormat="1" x14ac:dyDescent="0.3">
      <c r="A107" s="55" t="s">
        <v>235</v>
      </c>
      <c r="B107" s="5" t="str">
        <f>B23</f>
        <v>NGN</v>
      </c>
      <c r="C107" s="4"/>
      <c r="D107" s="4"/>
      <c r="E107" s="4"/>
      <c r="F107" s="4"/>
      <c r="G107" s="4"/>
      <c r="H107" s="4"/>
      <c r="I107" s="4"/>
      <c r="J107" s="4"/>
      <c r="K107" s="4"/>
      <c r="L107" s="4"/>
      <c r="M107" s="4"/>
      <c r="N107" s="4"/>
      <c r="O107" s="4"/>
      <c r="P107" s="4"/>
      <c r="Q107" s="4"/>
      <c r="R107" s="4"/>
      <c r="S107" s="4"/>
      <c r="T107" s="4"/>
      <c r="U107" s="4"/>
      <c r="V107" s="4"/>
      <c r="W107" s="75"/>
      <c r="X107" s="2">
        <f t="shared" si="9"/>
        <v>0</v>
      </c>
      <c r="Y107" s="75"/>
      <c r="Z107" s="75"/>
      <c r="AA107" s="75"/>
      <c r="AB107" s="75"/>
      <c r="AC107" s="75"/>
      <c r="AD107" s="75"/>
      <c r="AE107" s="76"/>
      <c r="AF107" s="76"/>
      <c r="AG107" s="76"/>
      <c r="AH107" s="75"/>
      <c r="AI107" s="75"/>
      <c r="AJ107" s="75"/>
      <c r="AK107" s="75"/>
      <c r="AL107" s="75"/>
      <c r="AM107" s="75"/>
      <c r="AN107" s="75"/>
      <c r="AO107" s="75"/>
      <c r="AP107" s="75"/>
      <c r="AQ107" s="75"/>
    </row>
    <row r="108" spans="1:43" s="74" customFormat="1" x14ac:dyDescent="0.3">
      <c r="A108" s="55" t="s">
        <v>234</v>
      </c>
      <c r="B108" s="5" t="str">
        <f>B23</f>
        <v>NGN</v>
      </c>
      <c r="C108" s="4"/>
      <c r="D108" s="4"/>
      <c r="E108" s="4"/>
      <c r="F108" s="4"/>
      <c r="G108" s="4"/>
      <c r="H108" s="4"/>
      <c r="I108" s="4"/>
      <c r="J108" s="4"/>
      <c r="K108" s="4"/>
      <c r="L108" s="4"/>
      <c r="M108" s="4"/>
      <c r="N108" s="4"/>
      <c r="O108" s="4"/>
      <c r="P108" s="4"/>
      <c r="Q108" s="4"/>
      <c r="R108" s="4"/>
      <c r="S108" s="4"/>
      <c r="T108" s="4"/>
      <c r="U108" s="4"/>
      <c r="V108" s="4"/>
      <c r="W108" s="75"/>
      <c r="X108" s="2">
        <f t="shared" si="9"/>
        <v>0</v>
      </c>
      <c r="Y108" s="75"/>
      <c r="Z108" s="75"/>
      <c r="AA108" s="75"/>
      <c r="AB108" s="75"/>
      <c r="AC108" s="75"/>
      <c r="AD108" s="75"/>
      <c r="AE108" s="76"/>
      <c r="AF108" s="76"/>
      <c r="AG108" s="76"/>
      <c r="AH108" s="75"/>
      <c r="AI108" s="75"/>
      <c r="AJ108" s="75"/>
      <c r="AK108" s="75"/>
      <c r="AL108" s="75"/>
      <c r="AM108" s="75"/>
      <c r="AN108" s="75"/>
      <c r="AO108" s="75"/>
      <c r="AP108" s="75"/>
      <c r="AQ108" s="75"/>
    </row>
    <row r="109" spans="1:43" s="74" customFormat="1" x14ac:dyDescent="0.3">
      <c r="A109" s="55" t="s">
        <v>40</v>
      </c>
      <c r="B109" s="5" t="str">
        <f>B23</f>
        <v>NGN</v>
      </c>
      <c r="C109" s="4"/>
      <c r="D109" s="4"/>
      <c r="E109" s="4"/>
      <c r="F109" s="4"/>
      <c r="G109" s="4"/>
      <c r="H109" s="4"/>
      <c r="I109" s="4"/>
      <c r="J109" s="4"/>
      <c r="K109" s="4"/>
      <c r="L109" s="4"/>
      <c r="M109" s="4"/>
      <c r="N109" s="4"/>
      <c r="O109" s="4"/>
      <c r="P109" s="4"/>
      <c r="Q109" s="4"/>
      <c r="R109" s="4"/>
      <c r="S109" s="4"/>
      <c r="T109" s="4"/>
      <c r="U109" s="4"/>
      <c r="V109" s="4"/>
      <c r="W109" s="75"/>
      <c r="X109" s="2">
        <f t="shared" si="9"/>
        <v>0</v>
      </c>
      <c r="Y109" s="75"/>
      <c r="Z109" s="75"/>
      <c r="AA109" s="75"/>
      <c r="AB109" s="75"/>
      <c r="AC109" s="75"/>
      <c r="AD109" s="75"/>
      <c r="AE109" s="76"/>
      <c r="AF109" s="76"/>
      <c r="AG109" s="76"/>
      <c r="AH109" s="75"/>
      <c r="AI109" s="75"/>
      <c r="AJ109" s="75"/>
      <c r="AK109" s="75"/>
      <c r="AL109" s="75"/>
      <c r="AM109" s="75"/>
      <c r="AN109" s="75"/>
      <c r="AO109" s="75"/>
      <c r="AP109" s="75"/>
      <c r="AQ109" s="75"/>
    </row>
    <row r="110" spans="1:43" s="74" customFormat="1" x14ac:dyDescent="0.3">
      <c r="A110" s="55" t="s">
        <v>9</v>
      </c>
      <c r="B110" s="5" t="str">
        <f>B23</f>
        <v>NGN</v>
      </c>
      <c r="C110" s="4"/>
      <c r="D110" s="4"/>
      <c r="E110" s="4"/>
      <c r="F110" s="4"/>
      <c r="G110" s="4"/>
      <c r="H110" s="4"/>
      <c r="I110" s="4"/>
      <c r="J110" s="4"/>
      <c r="K110" s="4"/>
      <c r="L110" s="4"/>
      <c r="M110" s="4"/>
      <c r="N110" s="4"/>
      <c r="O110" s="4"/>
      <c r="P110" s="4"/>
      <c r="Q110" s="4"/>
      <c r="R110" s="4"/>
      <c r="S110" s="4"/>
      <c r="T110" s="4"/>
      <c r="U110" s="4"/>
      <c r="V110" s="4"/>
      <c r="W110" s="75"/>
      <c r="X110" s="2">
        <f t="shared" si="9"/>
        <v>0</v>
      </c>
      <c r="Y110" s="75"/>
      <c r="Z110" s="75"/>
      <c r="AA110" s="75"/>
      <c r="AB110" s="75"/>
      <c r="AC110" s="75"/>
      <c r="AD110" s="75"/>
      <c r="AE110" s="76"/>
      <c r="AF110" s="76"/>
      <c r="AG110" s="76"/>
      <c r="AH110" s="75"/>
      <c r="AI110" s="75"/>
      <c r="AJ110" s="75"/>
      <c r="AK110" s="75"/>
      <c r="AL110" s="75"/>
      <c r="AM110" s="75"/>
      <c r="AN110" s="75"/>
      <c r="AO110" s="75"/>
      <c r="AP110" s="75"/>
      <c r="AQ110" s="75"/>
    </row>
    <row r="111" spans="1:43" s="74" customFormat="1" x14ac:dyDescent="0.3">
      <c r="A111" s="55" t="s">
        <v>37</v>
      </c>
      <c r="B111" s="5" t="str">
        <f>B23</f>
        <v>NGN</v>
      </c>
      <c r="C111" s="4"/>
      <c r="D111" s="4"/>
      <c r="E111" s="4"/>
      <c r="F111" s="4"/>
      <c r="G111" s="4"/>
      <c r="H111" s="4"/>
      <c r="I111" s="4"/>
      <c r="J111" s="4"/>
      <c r="K111" s="4"/>
      <c r="L111" s="4"/>
      <c r="M111" s="4"/>
      <c r="N111" s="4"/>
      <c r="O111" s="4"/>
      <c r="P111" s="4"/>
      <c r="Q111" s="4"/>
      <c r="R111" s="4"/>
      <c r="S111" s="4"/>
      <c r="T111" s="4"/>
      <c r="U111" s="4"/>
      <c r="V111" s="4"/>
      <c r="W111" s="75"/>
      <c r="X111" s="2">
        <f t="shared" si="9"/>
        <v>0</v>
      </c>
      <c r="Y111" s="75"/>
      <c r="Z111" s="75"/>
      <c r="AA111" s="75"/>
      <c r="AB111" s="75"/>
      <c r="AC111" s="75"/>
      <c r="AD111" s="75"/>
      <c r="AE111" s="76"/>
      <c r="AF111" s="76"/>
      <c r="AG111" s="76"/>
      <c r="AH111" s="75"/>
      <c r="AI111" s="75"/>
      <c r="AJ111" s="75"/>
      <c r="AK111" s="75"/>
      <c r="AL111" s="75"/>
      <c r="AM111" s="75"/>
      <c r="AN111" s="75"/>
      <c r="AO111" s="75"/>
      <c r="AP111" s="75"/>
      <c r="AQ111" s="75"/>
    </row>
    <row r="112" spans="1:43" s="74" customFormat="1" x14ac:dyDescent="0.3">
      <c r="A112" s="55" t="s">
        <v>11</v>
      </c>
      <c r="B112" s="5" t="str">
        <f>B23</f>
        <v>NGN</v>
      </c>
      <c r="C112" s="4"/>
      <c r="D112" s="4"/>
      <c r="E112" s="4"/>
      <c r="F112" s="4"/>
      <c r="G112" s="4"/>
      <c r="H112" s="4"/>
      <c r="I112" s="4"/>
      <c r="J112" s="4"/>
      <c r="K112" s="4"/>
      <c r="L112" s="4"/>
      <c r="M112" s="4"/>
      <c r="N112" s="4"/>
      <c r="O112" s="4"/>
      <c r="P112" s="4"/>
      <c r="Q112" s="4"/>
      <c r="R112" s="4"/>
      <c r="S112" s="4"/>
      <c r="T112" s="4"/>
      <c r="U112" s="4"/>
      <c r="V112" s="4"/>
      <c r="W112" s="75"/>
      <c r="X112" s="2">
        <f t="shared" si="9"/>
        <v>0</v>
      </c>
      <c r="Y112" s="75"/>
      <c r="Z112" s="75"/>
      <c r="AA112" s="75"/>
      <c r="AB112" s="75"/>
      <c r="AC112" s="75"/>
      <c r="AD112" s="75"/>
      <c r="AE112" s="76"/>
      <c r="AF112" s="76"/>
      <c r="AG112" s="76"/>
      <c r="AH112" s="75"/>
      <c r="AI112" s="75"/>
      <c r="AJ112" s="75"/>
      <c r="AK112" s="75"/>
      <c r="AL112" s="75"/>
      <c r="AM112" s="75"/>
      <c r="AN112" s="75"/>
      <c r="AO112" s="75"/>
      <c r="AP112" s="75"/>
      <c r="AQ112" s="75"/>
    </row>
    <row r="113" spans="1:64" s="74" customFormat="1" x14ac:dyDescent="0.3">
      <c r="A113" s="55"/>
      <c r="B113" s="5"/>
      <c r="C113" s="4"/>
      <c r="D113" s="4"/>
      <c r="E113" s="4"/>
      <c r="F113" s="4"/>
      <c r="G113" s="4"/>
      <c r="H113" s="4"/>
      <c r="I113" s="4"/>
      <c r="J113" s="4"/>
      <c r="K113" s="4"/>
      <c r="L113" s="4"/>
      <c r="M113" s="4"/>
      <c r="N113" s="4"/>
      <c r="O113" s="4"/>
      <c r="P113" s="4"/>
      <c r="Q113" s="4"/>
      <c r="R113" s="4"/>
      <c r="S113" s="4"/>
      <c r="T113" s="4"/>
      <c r="U113" s="4"/>
      <c r="V113" s="4"/>
      <c r="W113" s="75"/>
      <c r="X113" s="2">
        <f t="shared" si="9"/>
        <v>0</v>
      </c>
      <c r="Y113" s="75"/>
      <c r="Z113" s="75"/>
      <c r="AA113" s="75"/>
      <c r="AB113" s="75"/>
      <c r="AC113" s="75"/>
      <c r="AD113" s="75"/>
      <c r="AE113" s="76"/>
      <c r="AF113" s="76"/>
      <c r="AG113" s="76"/>
      <c r="AH113" s="75"/>
      <c r="AI113" s="75"/>
      <c r="AJ113" s="75"/>
      <c r="AK113" s="75"/>
      <c r="AL113" s="75"/>
      <c r="AM113" s="75"/>
      <c r="AN113" s="75"/>
      <c r="AO113" s="75"/>
      <c r="AP113" s="75"/>
      <c r="AQ113" s="75"/>
    </row>
    <row r="114" spans="1:64" s="74" customFormat="1" x14ac:dyDescent="0.3">
      <c r="A114" s="55"/>
      <c r="B114" s="5"/>
      <c r="C114" s="4"/>
      <c r="D114" s="4"/>
      <c r="E114" s="4"/>
      <c r="F114" s="4"/>
      <c r="G114" s="4"/>
      <c r="H114" s="4"/>
      <c r="I114" s="4"/>
      <c r="J114" s="4"/>
      <c r="K114" s="4"/>
      <c r="L114" s="4"/>
      <c r="M114" s="4"/>
      <c r="N114" s="4"/>
      <c r="O114" s="4"/>
      <c r="P114" s="4"/>
      <c r="Q114" s="4"/>
      <c r="R114" s="4"/>
      <c r="S114" s="4"/>
      <c r="T114" s="4"/>
      <c r="U114" s="4"/>
      <c r="V114" s="4"/>
      <c r="W114" s="75"/>
      <c r="X114" s="2">
        <f t="shared" si="9"/>
        <v>0</v>
      </c>
      <c r="Y114" s="75"/>
      <c r="Z114" s="75"/>
      <c r="AA114" s="75"/>
      <c r="AB114" s="75"/>
      <c r="AC114" s="75"/>
      <c r="AD114" s="75"/>
      <c r="AE114" s="76"/>
      <c r="AF114" s="76"/>
      <c r="AG114" s="76"/>
      <c r="AH114" s="75"/>
      <c r="AI114" s="75"/>
      <c r="AJ114" s="75"/>
      <c r="AK114" s="75"/>
      <c r="AL114" s="75"/>
      <c r="AM114" s="75"/>
      <c r="AN114" s="75"/>
      <c r="AO114" s="75"/>
      <c r="AP114" s="75"/>
      <c r="AQ114" s="75"/>
    </row>
    <row r="115" spans="1:64" x14ac:dyDescent="0.3">
      <c r="A115" s="582" t="str">
        <f>Inputs!A116</f>
        <v>1.2.6 General or "shared" assets used in the electricity business</v>
      </c>
      <c r="B115" s="583"/>
      <c r="C115" s="583"/>
      <c r="D115" s="583"/>
      <c r="E115" s="583"/>
      <c r="F115" s="583"/>
      <c r="G115" s="583"/>
      <c r="H115" s="583"/>
      <c r="I115" s="583"/>
      <c r="J115" s="583"/>
      <c r="K115" s="583"/>
      <c r="L115" s="583"/>
      <c r="M115" s="583"/>
      <c r="N115" s="583"/>
      <c r="O115" s="583"/>
      <c r="P115" s="583"/>
      <c r="Q115" s="583"/>
      <c r="R115" s="583"/>
      <c r="S115" s="583"/>
      <c r="T115" s="583"/>
      <c r="U115" s="583"/>
      <c r="V115" s="583"/>
      <c r="W115" s="583"/>
      <c r="X115" s="583"/>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row>
    <row r="116" spans="1:64" s="127" customFormat="1" x14ac:dyDescent="0.3">
      <c r="A116" s="55" t="str">
        <f>Inputs!A117</f>
        <v>Vehicles, motor cycles</v>
      </c>
      <c r="B116" s="5" t="str">
        <f>Inputs!B117</f>
        <v>NGN</v>
      </c>
      <c r="C116" s="4"/>
      <c r="D116" s="4"/>
      <c r="E116" s="4"/>
      <c r="F116" s="4"/>
      <c r="G116" s="4"/>
      <c r="H116" s="4"/>
      <c r="I116" s="4"/>
      <c r="J116" s="4"/>
      <c r="K116" s="4"/>
      <c r="L116" s="4"/>
      <c r="M116" s="4"/>
      <c r="N116" s="4"/>
      <c r="O116" s="4"/>
      <c r="P116" s="4"/>
      <c r="Q116" s="4"/>
      <c r="R116" s="4"/>
      <c r="S116" s="4"/>
      <c r="T116" s="4"/>
      <c r="U116" s="4"/>
      <c r="V116" s="4"/>
      <c r="W116" s="44"/>
      <c r="X116" s="2">
        <f t="shared" ref="X116:X121" si="10">SUM(C116:W116)</f>
        <v>0</v>
      </c>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row>
    <row r="117" spans="1:64" s="127" customFormat="1" x14ac:dyDescent="0.3">
      <c r="A117" s="55" t="str">
        <f>Inputs!A118</f>
        <v>Office equipment and furniture</v>
      </c>
      <c r="B117" s="5" t="str">
        <f>Inputs!B118</f>
        <v>NGN</v>
      </c>
      <c r="C117" s="4"/>
      <c r="D117" s="4"/>
      <c r="E117" s="4"/>
      <c r="F117" s="4"/>
      <c r="G117" s="4"/>
      <c r="H117" s="4"/>
      <c r="I117" s="4"/>
      <c r="J117" s="4"/>
      <c r="K117" s="4"/>
      <c r="L117" s="4"/>
      <c r="M117" s="4"/>
      <c r="N117" s="4"/>
      <c r="O117" s="4"/>
      <c r="P117" s="4"/>
      <c r="Q117" s="4"/>
      <c r="R117" s="4"/>
      <c r="S117" s="4"/>
      <c r="T117" s="4"/>
      <c r="U117" s="4"/>
      <c r="V117" s="4"/>
      <c r="W117" s="44"/>
      <c r="X117" s="2">
        <f t="shared" si="10"/>
        <v>0</v>
      </c>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row>
    <row r="118" spans="1:64" s="127" customFormat="1" x14ac:dyDescent="0.3">
      <c r="A118" s="55" t="str">
        <f>Inputs!A119</f>
        <v>Finance and admin IT (computers and software)</v>
      </c>
      <c r="B118" s="5" t="str">
        <f>Inputs!B119</f>
        <v>NGN</v>
      </c>
      <c r="C118" s="4"/>
      <c r="D118" s="4"/>
      <c r="E118" s="4"/>
      <c r="F118" s="4"/>
      <c r="G118" s="4"/>
      <c r="H118" s="4"/>
      <c r="I118" s="4"/>
      <c r="J118" s="4"/>
      <c r="K118" s="4"/>
      <c r="L118" s="4"/>
      <c r="M118" s="4"/>
      <c r="N118" s="4"/>
      <c r="O118" s="4"/>
      <c r="P118" s="4"/>
      <c r="Q118" s="4"/>
      <c r="R118" s="4"/>
      <c r="S118" s="4"/>
      <c r="T118" s="4"/>
      <c r="U118" s="4"/>
      <c r="V118" s="4"/>
      <c r="W118" s="44"/>
      <c r="X118" s="2">
        <f t="shared" si="10"/>
        <v>0</v>
      </c>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row>
    <row r="119" spans="1:64" s="127" customFormat="1" x14ac:dyDescent="0.3">
      <c r="A119" s="55" t="str">
        <f>Inputs!A120</f>
        <v>Building and fixtures</v>
      </c>
      <c r="B119" s="5" t="str">
        <f>Inputs!B120</f>
        <v>NGN</v>
      </c>
      <c r="C119" s="4"/>
      <c r="D119" s="4"/>
      <c r="E119" s="4"/>
      <c r="F119" s="4"/>
      <c r="G119" s="4"/>
      <c r="H119" s="4"/>
      <c r="I119" s="4"/>
      <c r="J119" s="4"/>
      <c r="K119" s="4"/>
      <c r="L119" s="4"/>
      <c r="M119" s="4"/>
      <c r="N119" s="4"/>
      <c r="O119" s="4"/>
      <c r="P119" s="4"/>
      <c r="Q119" s="4"/>
      <c r="R119" s="4"/>
      <c r="S119" s="4"/>
      <c r="T119" s="4"/>
      <c r="U119" s="4"/>
      <c r="V119" s="4"/>
      <c r="W119" s="44"/>
      <c r="X119" s="2">
        <f t="shared" si="10"/>
        <v>0</v>
      </c>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row>
    <row r="120" spans="1:64" s="127" customFormat="1" x14ac:dyDescent="0.3">
      <c r="A120" s="55">
        <f>Inputs!A121</f>
        <v>0</v>
      </c>
      <c r="B120" s="5" t="str">
        <f>Inputs!B121</f>
        <v>NGN</v>
      </c>
      <c r="C120" s="4"/>
      <c r="D120" s="4"/>
      <c r="E120" s="4"/>
      <c r="F120" s="4"/>
      <c r="G120" s="4"/>
      <c r="H120" s="4"/>
      <c r="I120" s="4"/>
      <c r="J120" s="4"/>
      <c r="K120" s="4"/>
      <c r="L120" s="4"/>
      <c r="M120" s="4"/>
      <c r="N120" s="4"/>
      <c r="O120" s="4"/>
      <c r="P120" s="4"/>
      <c r="Q120" s="4"/>
      <c r="R120" s="4"/>
      <c r="S120" s="4"/>
      <c r="T120" s="4"/>
      <c r="U120" s="4"/>
      <c r="V120" s="4"/>
      <c r="W120" s="44"/>
      <c r="X120" s="2">
        <f t="shared" si="10"/>
        <v>0</v>
      </c>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row>
    <row r="121" spans="1:64" s="127" customFormat="1" x14ac:dyDescent="0.3">
      <c r="A121" s="55">
        <f>Inputs!A122</f>
        <v>0</v>
      </c>
      <c r="B121" s="5" t="str">
        <f>Inputs!B122</f>
        <v>NGN</v>
      </c>
      <c r="C121" s="4"/>
      <c r="D121" s="4"/>
      <c r="E121" s="4"/>
      <c r="F121" s="4"/>
      <c r="G121" s="4"/>
      <c r="H121" s="4"/>
      <c r="I121" s="4"/>
      <c r="J121" s="4"/>
      <c r="K121" s="4"/>
      <c r="L121" s="4"/>
      <c r="M121" s="4"/>
      <c r="N121" s="4"/>
      <c r="O121" s="4"/>
      <c r="P121" s="4"/>
      <c r="Q121" s="4"/>
      <c r="R121" s="4"/>
      <c r="S121" s="4"/>
      <c r="T121" s="4"/>
      <c r="U121" s="4"/>
      <c r="V121" s="4"/>
      <c r="W121" s="44"/>
      <c r="X121" s="2">
        <f t="shared" si="10"/>
        <v>0</v>
      </c>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row>
    <row r="122" spans="1:64" x14ac:dyDescent="0.3">
      <c r="A122" s="86" t="str">
        <f>Inputs!A136</f>
        <v>1.4 Operating and Maintenance (O&amp;M) costs</v>
      </c>
      <c r="B122" s="432"/>
      <c r="X122"/>
    </row>
    <row r="123" spans="1:64" x14ac:dyDescent="0.3">
      <c r="A123" s="64"/>
      <c r="B123" s="64" t="s">
        <v>47</v>
      </c>
      <c r="X123"/>
    </row>
    <row r="124" spans="1:64" x14ac:dyDescent="0.3">
      <c r="A124" s="55" t="str">
        <f>Inputs!A138</f>
        <v>Variable operations and maintenance costs</v>
      </c>
      <c r="B124" s="5" t="str">
        <f>Inputs!B138</f>
        <v>NGN</v>
      </c>
      <c r="C124" s="4"/>
      <c r="D124" s="4"/>
      <c r="E124" s="4"/>
      <c r="F124" s="4"/>
      <c r="G124" s="4"/>
      <c r="H124" s="4"/>
      <c r="I124" s="4"/>
      <c r="J124" s="4"/>
      <c r="K124" s="4"/>
      <c r="L124" s="4"/>
      <c r="M124" s="4"/>
      <c r="N124" s="4"/>
      <c r="O124" s="4"/>
      <c r="P124" s="4"/>
      <c r="Q124" s="4"/>
      <c r="R124" s="4"/>
      <c r="S124" s="4"/>
      <c r="T124" s="4"/>
      <c r="U124" s="4"/>
      <c r="V124" s="4"/>
      <c r="X124" s="2">
        <f t="shared" ref="X124:X130" si="11">SUM(C124:W124)</f>
        <v>0</v>
      </c>
    </row>
    <row r="125" spans="1:64" x14ac:dyDescent="0.3">
      <c r="A125" s="55" t="str">
        <f>Inputs!A139</f>
        <v>Fixed operations and maintenance costs</v>
      </c>
      <c r="B125" s="5" t="str">
        <f>Inputs!B139</f>
        <v>NGN</v>
      </c>
      <c r="C125" s="4"/>
      <c r="D125" s="4"/>
      <c r="E125" s="4"/>
      <c r="F125" s="4"/>
      <c r="G125" s="4"/>
      <c r="H125" s="4"/>
      <c r="I125" s="4"/>
      <c r="J125" s="4"/>
      <c r="K125" s="4"/>
      <c r="L125" s="4"/>
      <c r="M125" s="4"/>
      <c r="N125" s="4"/>
      <c r="O125" s="4"/>
      <c r="P125" s="4"/>
      <c r="Q125" s="4"/>
      <c r="R125" s="4"/>
      <c r="S125" s="4"/>
      <c r="T125" s="4"/>
      <c r="U125" s="4"/>
      <c r="V125" s="4"/>
      <c r="X125" s="2">
        <f t="shared" si="11"/>
        <v>0</v>
      </c>
    </row>
    <row r="126" spans="1:64" x14ac:dyDescent="0.3">
      <c r="A126" s="55" t="str">
        <f>Inputs!A140</f>
        <v>Central operations costs</v>
      </c>
      <c r="B126" s="5" t="str">
        <f>Inputs!B140</f>
        <v>NGN</v>
      </c>
      <c r="C126" s="4"/>
      <c r="D126" s="4"/>
      <c r="E126" s="4"/>
      <c r="F126" s="4"/>
      <c r="G126" s="4"/>
      <c r="H126" s="4"/>
      <c r="I126" s="4"/>
      <c r="J126" s="4"/>
      <c r="K126" s="4"/>
      <c r="L126" s="4"/>
      <c r="M126" s="4"/>
      <c r="N126" s="4"/>
      <c r="O126" s="4"/>
      <c r="P126" s="4"/>
      <c r="Q126" s="4"/>
      <c r="R126" s="4"/>
      <c r="S126" s="4"/>
      <c r="T126" s="4"/>
      <c r="U126" s="4"/>
      <c r="V126" s="4"/>
      <c r="X126" s="2">
        <f t="shared" si="11"/>
        <v>0</v>
      </c>
    </row>
    <row r="127" spans="1:64" x14ac:dyDescent="0.3">
      <c r="A127" s="55" t="str">
        <f>Inputs!A141</f>
        <v>Regulatory costs (see below kWh purchased)</v>
      </c>
      <c r="B127" s="5" t="str">
        <f>Inputs!B141</f>
        <v>NGN</v>
      </c>
      <c r="C127" s="4"/>
      <c r="D127" s="4"/>
      <c r="E127" s="4"/>
      <c r="F127" s="4"/>
      <c r="G127" s="4"/>
      <c r="H127" s="4"/>
      <c r="I127" s="4"/>
      <c r="J127" s="4"/>
      <c r="K127" s="4"/>
      <c r="L127" s="4"/>
      <c r="M127" s="4"/>
      <c r="N127" s="4"/>
      <c r="O127" s="4"/>
      <c r="P127" s="4"/>
      <c r="Q127" s="4"/>
      <c r="R127" s="4"/>
      <c r="S127" s="4"/>
      <c r="T127" s="4"/>
      <c r="U127" s="4"/>
      <c r="V127" s="4"/>
      <c r="X127" s="2">
        <f t="shared" si="11"/>
        <v>0</v>
      </c>
    </row>
    <row r="128" spans="1:64" x14ac:dyDescent="0.3">
      <c r="A128" s="55" t="str">
        <f>Inputs!A142</f>
        <v>Power purchase costs</v>
      </c>
      <c r="B128" s="5" t="str">
        <f>Inputs!B142</f>
        <v>NGN</v>
      </c>
      <c r="C128" s="4"/>
      <c r="D128" s="4"/>
      <c r="E128" s="4"/>
      <c r="F128" s="4"/>
      <c r="G128" s="4"/>
      <c r="H128" s="4"/>
      <c r="I128" s="4"/>
      <c r="J128" s="4"/>
      <c r="K128" s="4"/>
      <c r="L128" s="4"/>
      <c r="M128" s="4"/>
      <c r="N128" s="4"/>
      <c r="O128" s="4"/>
      <c r="P128" s="4"/>
      <c r="Q128" s="4"/>
      <c r="R128" s="4"/>
      <c r="S128" s="4"/>
      <c r="T128" s="4"/>
      <c r="U128" s="4"/>
      <c r="V128" s="4"/>
      <c r="X128" s="2">
        <f t="shared" si="11"/>
        <v>0</v>
      </c>
    </row>
    <row r="129" spans="1:24" x14ac:dyDescent="0.3">
      <c r="A129" s="55" t="str">
        <f>Inputs!A143</f>
        <v>Wheeling charges (DuOS)</v>
      </c>
      <c r="B129" s="5" t="str">
        <f>Inputs!B143</f>
        <v>NGN</v>
      </c>
      <c r="C129" s="4"/>
      <c r="D129" s="4"/>
      <c r="E129" s="4"/>
      <c r="F129" s="4"/>
      <c r="G129" s="4"/>
      <c r="H129" s="4"/>
      <c r="I129" s="4"/>
      <c r="J129" s="4"/>
      <c r="K129" s="4"/>
      <c r="L129" s="4"/>
      <c r="M129" s="4"/>
      <c r="N129" s="4"/>
      <c r="O129" s="4"/>
      <c r="P129" s="4"/>
      <c r="Q129" s="4"/>
      <c r="R129" s="4"/>
      <c r="S129" s="4"/>
      <c r="T129" s="4"/>
      <c r="U129" s="4"/>
      <c r="V129" s="4"/>
      <c r="X129" s="2">
        <f t="shared" si="11"/>
        <v>0</v>
      </c>
    </row>
    <row r="130" spans="1:24" x14ac:dyDescent="0.3">
      <c r="A130" s="55">
        <f>Inputs!A144</f>
        <v>0</v>
      </c>
      <c r="B130" s="5" t="str">
        <f>Inputs!B144</f>
        <v>NGN</v>
      </c>
      <c r="C130" s="4"/>
      <c r="D130" s="4"/>
      <c r="E130" s="4"/>
      <c r="F130" s="4"/>
      <c r="G130" s="4"/>
      <c r="H130" s="4"/>
      <c r="I130" s="4"/>
      <c r="J130" s="4"/>
      <c r="K130" s="4"/>
      <c r="L130" s="4"/>
      <c r="M130" s="4"/>
      <c r="N130" s="4"/>
      <c r="O130" s="4"/>
      <c r="P130" s="4"/>
      <c r="Q130" s="4"/>
      <c r="R130" s="4"/>
      <c r="S130" s="4"/>
      <c r="T130" s="4"/>
      <c r="U130" s="4"/>
      <c r="V130" s="4"/>
      <c r="X130" s="2">
        <f t="shared" si="11"/>
        <v>0</v>
      </c>
    </row>
    <row r="131" spans="1:24" x14ac:dyDescent="0.3">
      <c r="A131" s="82" t="s">
        <v>238</v>
      </c>
      <c r="B131" s="83" t="str">
        <f>Inputs!B144</f>
        <v>NGN</v>
      </c>
      <c r="C131" s="130">
        <f>SUM(C124:C130)</f>
        <v>0</v>
      </c>
      <c r="D131" s="130">
        <f t="shared" ref="D131:V131" si="12">SUM(D124:D130)</f>
        <v>0</v>
      </c>
      <c r="E131" s="130">
        <f t="shared" si="12"/>
        <v>0</v>
      </c>
      <c r="F131" s="130">
        <f t="shared" si="12"/>
        <v>0</v>
      </c>
      <c r="G131" s="130">
        <f t="shared" si="12"/>
        <v>0</v>
      </c>
      <c r="H131" s="130">
        <f t="shared" si="12"/>
        <v>0</v>
      </c>
      <c r="I131" s="130">
        <f t="shared" si="12"/>
        <v>0</v>
      </c>
      <c r="J131" s="130">
        <f t="shared" si="12"/>
        <v>0</v>
      </c>
      <c r="K131" s="130">
        <f t="shared" si="12"/>
        <v>0</v>
      </c>
      <c r="L131" s="130">
        <f t="shared" si="12"/>
        <v>0</v>
      </c>
      <c r="M131" s="130">
        <f t="shared" si="12"/>
        <v>0</v>
      </c>
      <c r="N131" s="130">
        <f t="shared" si="12"/>
        <v>0</v>
      </c>
      <c r="O131" s="130">
        <f t="shared" si="12"/>
        <v>0</v>
      </c>
      <c r="P131" s="130">
        <f t="shared" si="12"/>
        <v>0</v>
      </c>
      <c r="Q131" s="130">
        <f t="shared" si="12"/>
        <v>0</v>
      </c>
      <c r="R131" s="130">
        <f t="shared" si="12"/>
        <v>0</v>
      </c>
      <c r="S131" s="130">
        <f t="shared" si="12"/>
        <v>0</v>
      </c>
      <c r="T131" s="130">
        <f t="shared" si="12"/>
        <v>0</v>
      </c>
      <c r="U131" s="130">
        <f t="shared" si="12"/>
        <v>0</v>
      </c>
      <c r="V131" s="130">
        <f t="shared" si="12"/>
        <v>0</v>
      </c>
      <c r="W131" s="130">
        <f t="shared" ref="W131" si="13">SUM(W124:W130)</f>
        <v>0</v>
      </c>
      <c r="X131" s="130">
        <f t="shared" ref="X131" si="14">SUM(X124:X130)</f>
        <v>0</v>
      </c>
    </row>
    <row r="132" spans="1:24" x14ac:dyDescent="0.3">
      <c r="A132" s="106"/>
      <c r="B132" s="60"/>
    </row>
    <row r="133" spans="1:24" x14ac:dyDescent="0.3">
      <c r="A133" s="47"/>
      <c r="B133" s="60"/>
    </row>
    <row r="134" spans="1:24" x14ac:dyDescent="0.3">
      <c r="A134" s="93" t="str">
        <f>Inputs!A195</f>
        <v>1.8 Customer categories, consumption and cost causality</v>
      </c>
      <c r="B134" s="433"/>
    </row>
    <row r="135" spans="1:24" ht="14.7" customHeight="1" x14ac:dyDescent="0.3">
      <c r="A135" s="106" t="str">
        <f>Inputs!A196</f>
        <v>placeholder - user to populate</v>
      </c>
      <c r="B135" s="577"/>
      <c r="C135" s="577" t="s">
        <v>127</v>
      </c>
      <c r="D135" s="577" t="s">
        <v>127</v>
      </c>
      <c r="E135" s="577" t="s">
        <v>127</v>
      </c>
      <c r="F135" s="577" t="s">
        <v>127</v>
      </c>
      <c r="G135" s="577" t="s">
        <v>127</v>
      </c>
      <c r="H135" s="577" t="s">
        <v>127</v>
      </c>
      <c r="I135" s="577" t="s">
        <v>127</v>
      </c>
      <c r="J135" s="577" t="s">
        <v>127</v>
      </c>
      <c r="K135" s="577" t="s">
        <v>127</v>
      </c>
      <c r="L135" s="577" t="s">
        <v>127</v>
      </c>
      <c r="M135" s="577" t="s">
        <v>127</v>
      </c>
      <c r="N135" s="577" t="s">
        <v>127</v>
      </c>
      <c r="O135" s="577" t="s">
        <v>127</v>
      </c>
      <c r="P135" s="577" t="s">
        <v>127</v>
      </c>
      <c r="Q135" s="577" t="s">
        <v>127</v>
      </c>
      <c r="R135" s="577" t="s">
        <v>127</v>
      </c>
      <c r="S135" s="577" t="s">
        <v>127</v>
      </c>
      <c r="T135" s="577" t="s">
        <v>127</v>
      </c>
      <c r="U135" s="577" t="s">
        <v>127</v>
      </c>
      <c r="V135" s="577" t="s">
        <v>127</v>
      </c>
      <c r="X135" s="577" t="s">
        <v>75</v>
      </c>
    </row>
    <row r="136" spans="1:24" x14ac:dyDescent="0.3">
      <c r="A136" s="112"/>
      <c r="B136" s="614"/>
      <c r="C136" s="614"/>
      <c r="D136" s="614"/>
      <c r="E136" s="614"/>
      <c r="F136" s="614"/>
      <c r="G136" s="614"/>
      <c r="H136" s="614"/>
      <c r="I136" s="614"/>
      <c r="J136" s="614"/>
      <c r="K136" s="614"/>
      <c r="L136" s="614"/>
      <c r="M136" s="614"/>
      <c r="N136" s="614"/>
      <c r="O136" s="614"/>
      <c r="P136" s="614"/>
      <c r="Q136" s="614"/>
      <c r="R136" s="614"/>
      <c r="S136" s="614"/>
      <c r="T136" s="614"/>
      <c r="U136" s="614"/>
      <c r="V136" s="614"/>
      <c r="X136" s="614"/>
    </row>
    <row r="137" spans="1:24" x14ac:dyDescent="0.3">
      <c r="A137" s="55" t="str">
        <f>Inputs!A198</f>
        <v>placeholder1 (Lifeline)</v>
      </c>
      <c r="B137" s="5"/>
      <c r="C137" s="4"/>
      <c r="D137" s="4"/>
      <c r="E137" s="4"/>
      <c r="F137" s="4"/>
      <c r="G137" s="4"/>
      <c r="H137" s="4"/>
      <c r="I137" s="4"/>
      <c r="J137" s="4"/>
      <c r="K137" s="4"/>
      <c r="L137" s="4"/>
      <c r="M137" s="4"/>
      <c r="N137" s="4"/>
      <c r="O137" s="4"/>
      <c r="P137" s="4"/>
      <c r="Q137" s="4"/>
      <c r="R137" s="4"/>
      <c r="S137" s="4"/>
      <c r="T137" s="4"/>
      <c r="U137" s="4"/>
      <c r="V137" s="4"/>
      <c r="X137" s="2">
        <f t="shared" ref="X137:X143" si="15">SUM(C137:W137)</f>
        <v>0</v>
      </c>
    </row>
    <row r="138" spans="1:24" x14ac:dyDescent="0.3">
      <c r="A138" s="55" t="str">
        <f>Inputs!A199</f>
        <v>placeholder2 (Households)</v>
      </c>
      <c r="B138" s="5"/>
      <c r="C138" s="4"/>
      <c r="D138" s="4"/>
      <c r="E138" s="4"/>
      <c r="F138" s="4"/>
      <c r="G138" s="4"/>
      <c r="H138" s="4"/>
      <c r="I138" s="4"/>
      <c r="J138" s="4"/>
      <c r="K138" s="4"/>
      <c r="L138" s="4"/>
      <c r="M138" s="4"/>
      <c r="N138" s="4"/>
      <c r="O138" s="4"/>
      <c r="P138" s="4"/>
      <c r="Q138" s="4"/>
      <c r="R138" s="4"/>
      <c r="S138" s="4"/>
      <c r="T138" s="4"/>
      <c r="U138" s="4"/>
      <c r="V138" s="4"/>
      <c r="X138" s="2">
        <f t="shared" si="15"/>
        <v>0</v>
      </c>
    </row>
    <row r="139" spans="1:24" x14ac:dyDescent="0.3">
      <c r="A139" s="55" t="str">
        <f>Inputs!A200</f>
        <v>placeholder3 (Business basic shops for lighting)</v>
      </c>
      <c r="B139" s="5"/>
      <c r="C139" s="4"/>
      <c r="D139" s="4"/>
      <c r="E139" s="4"/>
      <c r="F139" s="4"/>
      <c r="G139" s="4"/>
      <c r="H139" s="4"/>
      <c r="I139" s="4"/>
      <c r="J139" s="4"/>
      <c r="K139" s="4"/>
      <c r="L139" s="4"/>
      <c r="M139" s="4"/>
      <c r="N139" s="4"/>
      <c r="O139" s="4"/>
      <c r="P139" s="4"/>
      <c r="Q139" s="4"/>
      <c r="R139" s="4"/>
      <c r="S139" s="4"/>
      <c r="T139" s="4"/>
      <c r="U139" s="4"/>
      <c r="V139" s="4"/>
      <c r="X139" s="2">
        <f t="shared" si="15"/>
        <v>0</v>
      </c>
    </row>
    <row r="140" spans="1:24" x14ac:dyDescent="0.3">
      <c r="A140" s="55" t="str">
        <f>Inputs!A201</f>
        <v>placeholder4 (Business with appliances like fridges, freezers, etc)</v>
      </c>
      <c r="B140" s="5"/>
      <c r="C140" s="4"/>
      <c r="D140" s="4"/>
      <c r="E140" s="4"/>
      <c r="F140" s="4"/>
      <c r="G140" s="4"/>
      <c r="H140" s="4"/>
      <c r="I140" s="4"/>
      <c r="J140" s="4"/>
      <c r="K140" s="4"/>
      <c r="L140" s="4"/>
      <c r="M140" s="4"/>
      <c r="N140" s="4"/>
      <c r="O140" s="4"/>
      <c r="P140" s="4"/>
      <c r="Q140" s="4"/>
      <c r="R140" s="4"/>
      <c r="S140" s="4"/>
      <c r="T140" s="4"/>
      <c r="U140" s="4"/>
      <c r="V140" s="4"/>
      <c r="X140" s="2">
        <f t="shared" si="15"/>
        <v>0</v>
      </c>
    </row>
    <row r="141" spans="1:24" x14ac:dyDescent="0.3">
      <c r="A141" s="55" t="str">
        <f>Inputs!A202</f>
        <v>placeholder5 (Anchor-Mines/Timber Mills/Procesors, Bank, etc)</v>
      </c>
      <c r="B141" s="5"/>
      <c r="C141" s="4"/>
      <c r="D141" s="4"/>
      <c r="E141" s="4"/>
      <c r="F141" s="4"/>
      <c r="G141" s="4"/>
      <c r="H141" s="4"/>
      <c r="I141" s="4"/>
      <c r="J141" s="4"/>
      <c r="K141" s="4"/>
      <c r="L141" s="4"/>
      <c r="M141" s="4"/>
      <c r="N141" s="4"/>
      <c r="O141" s="4"/>
      <c r="P141" s="4"/>
      <c r="Q141" s="4"/>
      <c r="R141" s="4"/>
      <c r="S141" s="4"/>
      <c r="T141" s="4"/>
      <c r="U141" s="4"/>
      <c r="V141" s="4"/>
      <c r="X141" s="2">
        <f t="shared" si="15"/>
        <v>0</v>
      </c>
    </row>
    <row r="142" spans="1:24" x14ac:dyDescent="0.3">
      <c r="A142" s="55" t="str">
        <f>Inputs!A203</f>
        <v>placeholder6 (Institutions – schools, health centres, admin centres, etc)</v>
      </c>
      <c r="B142" s="5"/>
      <c r="C142" s="4"/>
      <c r="D142" s="4"/>
      <c r="E142" s="4"/>
      <c r="F142" s="4"/>
      <c r="G142" s="4"/>
      <c r="H142" s="4"/>
      <c r="I142" s="4"/>
      <c r="J142" s="4"/>
      <c r="K142" s="4"/>
      <c r="L142" s="4"/>
      <c r="M142" s="4"/>
      <c r="N142" s="4"/>
      <c r="O142" s="4"/>
      <c r="P142" s="4"/>
      <c r="Q142" s="4"/>
      <c r="R142" s="4"/>
      <c r="S142" s="4"/>
      <c r="T142" s="4"/>
      <c r="U142" s="4"/>
      <c r="V142" s="4"/>
      <c r="X142" s="2">
        <f t="shared" si="15"/>
        <v>0</v>
      </c>
    </row>
    <row r="143" spans="1:24" x14ac:dyDescent="0.3">
      <c r="A143" s="55" t="str">
        <f>Inputs!A204</f>
        <v>placeholder7 (Street lighting)</v>
      </c>
      <c r="B143" s="5"/>
      <c r="C143" s="4"/>
      <c r="D143" s="4"/>
      <c r="E143" s="4"/>
      <c r="F143" s="4"/>
      <c r="G143" s="4"/>
      <c r="H143" s="4"/>
      <c r="I143" s="4"/>
      <c r="J143" s="4"/>
      <c r="K143" s="4"/>
      <c r="L143" s="4"/>
      <c r="M143" s="4"/>
      <c r="N143" s="4"/>
      <c r="O143" s="4"/>
      <c r="P143" s="4"/>
      <c r="Q143" s="4"/>
      <c r="R143" s="4"/>
      <c r="S143" s="4"/>
      <c r="T143" s="4"/>
      <c r="U143" s="4"/>
      <c r="V143" s="4"/>
      <c r="X143" s="2">
        <f t="shared" si="15"/>
        <v>0</v>
      </c>
    </row>
    <row r="144" spans="1:24" x14ac:dyDescent="0.3">
      <c r="A144" s="82" t="str">
        <f>Inputs!A205</f>
        <v>Total</v>
      </c>
      <c r="B144" s="83"/>
      <c r="C144" s="144">
        <f t="shared" ref="C144:V144" si="16">SUM(C137:C143)</f>
        <v>0</v>
      </c>
      <c r="D144" s="144">
        <f t="shared" si="16"/>
        <v>0</v>
      </c>
      <c r="E144" s="144">
        <f t="shared" si="16"/>
        <v>0</v>
      </c>
      <c r="F144" s="144">
        <f t="shared" si="16"/>
        <v>0</v>
      </c>
      <c r="G144" s="144">
        <f t="shared" si="16"/>
        <v>0</v>
      </c>
      <c r="H144" s="144">
        <f t="shared" si="16"/>
        <v>0</v>
      </c>
      <c r="I144" s="144">
        <f t="shared" si="16"/>
        <v>0</v>
      </c>
      <c r="J144" s="144">
        <f t="shared" si="16"/>
        <v>0</v>
      </c>
      <c r="K144" s="144">
        <f t="shared" si="16"/>
        <v>0</v>
      </c>
      <c r="L144" s="144">
        <f t="shared" si="16"/>
        <v>0</v>
      </c>
      <c r="M144" s="144">
        <f t="shared" si="16"/>
        <v>0</v>
      </c>
      <c r="N144" s="144">
        <f t="shared" si="16"/>
        <v>0</v>
      </c>
      <c r="O144" s="144">
        <f t="shared" si="16"/>
        <v>0</v>
      </c>
      <c r="P144" s="144">
        <f t="shared" si="16"/>
        <v>0</v>
      </c>
      <c r="Q144" s="144">
        <f t="shared" si="16"/>
        <v>0</v>
      </c>
      <c r="R144" s="144">
        <f t="shared" si="16"/>
        <v>0</v>
      </c>
      <c r="S144" s="144">
        <f t="shared" si="16"/>
        <v>0</v>
      </c>
      <c r="T144" s="144">
        <f t="shared" si="16"/>
        <v>0</v>
      </c>
      <c r="U144" s="144">
        <f t="shared" si="16"/>
        <v>0</v>
      </c>
      <c r="V144" s="144">
        <f t="shared" si="16"/>
        <v>0</v>
      </c>
      <c r="W144" s="144">
        <f t="shared" ref="W144" si="17">SUM(W137:W143)</f>
        <v>0</v>
      </c>
      <c r="X144" s="144">
        <f t="shared" ref="X144" si="18">SUM(X137:X143)</f>
        <v>0</v>
      </c>
    </row>
    <row r="145" spans="1:45" x14ac:dyDescent="0.3">
      <c r="A145" s="47"/>
      <c r="B145" s="60"/>
    </row>
    <row r="146" spans="1:45" x14ac:dyDescent="0.3">
      <c r="A146" s="93" t="s">
        <v>489</v>
      </c>
      <c r="B146" s="433"/>
    </row>
    <row r="147" spans="1:45" x14ac:dyDescent="0.3">
      <c r="A147" s="106"/>
      <c r="B147" s="577" t="s">
        <v>47</v>
      </c>
      <c r="C147" s="577" t="s">
        <v>488</v>
      </c>
      <c r="D147" s="577" t="str">
        <f>C147</f>
        <v>kWh per month</v>
      </c>
      <c r="E147" s="577" t="str">
        <f t="shared" ref="E147:V147" si="19">D147</f>
        <v>kWh per month</v>
      </c>
      <c r="F147" s="577" t="str">
        <f t="shared" si="19"/>
        <v>kWh per month</v>
      </c>
      <c r="G147" s="577" t="str">
        <f t="shared" si="19"/>
        <v>kWh per month</v>
      </c>
      <c r="H147" s="577" t="str">
        <f t="shared" si="19"/>
        <v>kWh per month</v>
      </c>
      <c r="I147" s="577" t="str">
        <f t="shared" si="19"/>
        <v>kWh per month</v>
      </c>
      <c r="J147" s="577" t="str">
        <f t="shared" si="19"/>
        <v>kWh per month</v>
      </c>
      <c r="K147" s="577" t="str">
        <f t="shared" si="19"/>
        <v>kWh per month</v>
      </c>
      <c r="L147" s="577" t="str">
        <f t="shared" si="19"/>
        <v>kWh per month</v>
      </c>
      <c r="M147" s="577" t="str">
        <f t="shared" si="19"/>
        <v>kWh per month</v>
      </c>
      <c r="N147" s="577" t="str">
        <f t="shared" si="19"/>
        <v>kWh per month</v>
      </c>
      <c r="O147" s="577" t="str">
        <f t="shared" si="19"/>
        <v>kWh per month</v>
      </c>
      <c r="P147" s="577" t="str">
        <f t="shared" si="19"/>
        <v>kWh per month</v>
      </c>
      <c r="Q147" s="577" t="str">
        <f t="shared" si="19"/>
        <v>kWh per month</v>
      </c>
      <c r="R147" s="577" t="str">
        <f t="shared" si="19"/>
        <v>kWh per month</v>
      </c>
      <c r="S147" s="577" t="str">
        <f t="shared" si="19"/>
        <v>kWh per month</v>
      </c>
      <c r="T147" s="577" t="str">
        <f t="shared" si="19"/>
        <v>kWh per month</v>
      </c>
      <c r="U147" s="577" t="str">
        <f t="shared" si="19"/>
        <v>kWh per month</v>
      </c>
      <c r="V147" s="577" t="str">
        <f t="shared" si="19"/>
        <v>kWh per month</v>
      </c>
      <c r="X147" s="577" t="s">
        <v>75</v>
      </c>
    </row>
    <row r="148" spans="1:45" x14ac:dyDescent="0.3">
      <c r="A148" s="112"/>
      <c r="B148" s="614"/>
      <c r="C148" s="614"/>
      <c r="D148" s="614"/>
      <c r="E148" s="614"/>
      <c r="F148" s="614"/>
      <c r="G148" s="614"/>
      <c r="H148" s="614"/>
      <c r="I148" s="614"/>
      <c r="J148" s="614"/>
      <c r="K148" s="614"/>
      <c r="L148" s="614"/>
      <c r="M148" s="614"/>
      <c r="N148" s="614"/>
      <c r="O148" s="614"/>
      <c r="P148" s="614"/>
      <c r="Q148" s="614"/>
      <c r="R148" s="614"/>
      <c r="S148" s="614"/>
      <c r="T148" s="614"/>
      <c r="U148" s="614"/>
      <c r="V148" s="614"/>
      <c r="X148" s="614"/>
    </row>
    <row r="149" spans="1:45" x14ac:dyDescent="0.3">
      <c r="A149" s="55" t="str">
        <f>A137</f>
        <v>placeholder1 (Lifeline)</v>
      </c>
      <c r="B149" s="5" t="s">
        <v>86</v>
      </c>
      <c r="C149" s="4"/>
      <c r="D149" s="4"/>
      <c r="E149" s="4"/>
      <c r="F149" s="4"/>
      <c r="G149" s="4"/>
      <c r="H149" s="4"/>
      <c r="I149" s="4"/>
      <c r="J149" s="4"/>
      <c r="K149" s="4"/>
      <c r="L149" s="4"/>
      <c r="M149" s="4"/>
      <c r="N149" s="4"/>
      <c r="O149" s="4"/>
      <c r="P149" s="4"/>
      <c r="Q149" s="4"/>
      <c r="R149" s="4"/>
      <c r="S149" s="4"/>
      <c r="T149" s="4"/>
      <c r="U149" s="4"/>
      <c r="V149" s="4"/>
      <c r="X149" s="2" t="e">
        <f>AVERAGE(C149:W149)</f>
        <v>#DIV/0!</v>
      </c>
    </row>
    <row r="150" spans="1:45" x14ac:dyDescent="0.3">
      <c r="A150" s="55" t="str">
        <f t="shared" ref="A150:A154" si="20">A138</f>
        <v>placeholder2 (Households)</v>
      </c>
      <c r="B150" s="5" t="s">
        <v>86</v>
      </c>
      <c r="C150" s="4"/>
      <c r="D150" s="4"/>
      <c r="E150" s="4"/>
      <c r="F150" s="4"/>
      <c r="G150" s="4"/>
      <c r="H150" s="4"/>
      <c r="I150" s="4"/>
      <c r="J150" s="4"/>
      <c r="K150" s="4"/>
      <c r="L150" s="4"/>
      <c r="M150" s="4"/>
      <c r="N150" s="4"/>
      <c r="O150" s="4"/>
      <c r="P150" s="4"/>
      <c r="Q150" s="4"/>
      <c r="R150" s="4"/>
      <c r="S150" s="4"/>
      <c r="T150" s="4"/>
      <c r="U150" s="4"/>
      <c r="V150" s="4"/>
      <c r="X150" s="2" t="e">
        <f t="shared" ref="X150:X155" si="21">AVERAGE(C150:W150)</f>
        <v>#DIV/0!</v>
      </c>
    </row>
    <row r="151" spans="1:45" x14ac:dyDescent="0.3">
      <c r="A151" s="55" t="str">
        <f t="shared" si="20"/>
        <v>placeholder3 (Business basic shops for lighting)</v>
      </c>
      <c r="B151" s="5" t="s">
        <v>86</v>
      </c>
      <c r="C151" s="4"/>
      <c r="D151" s="4"/>
      <c r="E151" s="4"/>
      <c r="F151" s="4"/>
      <c r="G151" s="4"/>
      <c r="H151" s="4"/>
      <c r="I151" s="4"/>
      <c r="J151" s="4"/>
      <c r="K151" s="4"/>
      <c r="L151" s="4"/>
      <c r="M151" s="4"/>
      <c r="N151" s="4"/>
      <c r="O151" s="4"/>
      <c r="P151" s="4"/>
      <c r="Q151" s="4"/>
      <c r="R151" s="4"/>
      <c r="S151" s="4"/>
      <c r="T151" s="4"/>
      <c r="U151" s="4"/>
      <c r="V151" s="4"/>
      <c r="X151" s="2" t="e">
        <f t="shared" si="21"/>
        <v>#DIV/0!</v>
      </c>
    </row>
    <row r="152" spans="1:45" x14ac:dyDescent="0.3">
      <c r="A152" s="55" t="str">
        <f t="shared" si="20"/>
        <v>placeholder4 (Business with appliances like fridges, freezers, etc)</v>
      </c>
      <c r="B152" s="5" t="s">
        <v>86</v>
      </c>
      <c r="C152" s="4"/>
      <c r="D152" s="4"/>
      <c r="E152" s="4"/>
      <c r="F152" s="4"/>
      <c r="G152" s="4"/>
      <c r="H152" s="4"/>
      <c r="I152" s="4"/>
      <c r="J152" s="4"/>
      <c r="K152" s="4"/>
      <c r="L152" s="4"/>
      <c r="M152" s="4"/>
      <c r="N152" s="4"/>
      <c r="O152" s="4"/>
      <c r="P152" s="4"/>
      <c r="Q152" s="4"/>
      <c r="R152" s="4"/>
      <c r="S152" s="4"/>
      <c r="T152" s="4"/>
      <c r="U152" s="4"/>
      <c r="V152" s="4"/>
      <c r="X152" s="2" t="e">
        <f t="shared" si="21"/>
        <v>#DIV/0!</v>
      </c>
    </row>
    <row r="153" spans="1:45" x14ac:dyDescent="0.3">
      <c r="A153" s="55" t="str">
        <f t="shared" si="20"/>
        <v>placeholder5 (Anchor-Mines/Timber Mills/Procesors, Bank, etc)</v>
      </c>
      <c r="B153" s="5" t="s">
        <v>86</v>
      </c>
      <c r="C153" s="4"/>
      <c r="D153" s="4"/>
      <c r="E153" s="4"/>
      <c r="F153" s="4"/>
      <c r="G153" s="4"/>
      <c r="H153" s="4"/>
      <c r="I153" s="4"/>
      <c r="J153" s="4"/>
      <c r="K153" s="4"/>
      <c r="L153" s="4"/>
      <c r="M153" s="4"/>
      <c r="N153" s="4"/>
      <c r="O153" s="4"/>
      <c r="P153" s="4"/>
      <c r="Q153" s="4"/>
      <c r="R153" s="4"/>
      <c r="S153" s="4"/>
      <c r="T153" s="4"/>
      <c r="U153" s="4"/>
      <c r="V153" s="4"/>
      <c r="X153" s="2" t="e">
        <f t="shared" si="21"/>
        <v>#DIV/0!</v>
      </c>
    </row>
    <row r="154" spans="1:45" x14ac:dyDescent="0.3">
      <c r="A154" s="55" t="str">
        <f t="shared" si="20"/>
        <v>placeholder6 (Institutions – schools, health centres, admin centres, etc)</v>
      </c>
      <c r="B154" s="5" t="s">
        <v>86</v>
      </c>
      <c r="C154" s="4"/>
      <c r="D154" s="4"/>
      <c r="E154" s="4"/>
      <c r="F154" s="4"/>
      <c r="G154" s="4"/>
      <c r="H154" s="4"/>
      <c r="I154" s="4"/>
      <c r="J154" s="4"/>
      <c r="K154" s="4"/>
      <c r="L154" s="4"/>
      <c r="M154" s="4"/>
      <c r="N154" s="4"/>
      <c r="O154" s="4"/>
      <c r="P154" s="4"/>
      <c r="Q154" s="4"/>
      <c r="R154" s="4"/>
      <c r="S154" s="4"/>
      <c r="T154" s="4"/>
      <c r="U154" s="4"/>
      <c r="V154" s="4"/>
      <c r="X154" s="2" t="e">
        <f t="shared" si="21"/>
        <v>#DIV/0!</v>
      </c>
    </row>
    <row r="155" spans="1:45" x14ac:dyDescent="0.3">
      <c r="A155" s="55"/>
      <c r="B155" s="5"/>
      <c r="C155" s="4"/>
      <c r="D155" s="4"/>
      <c r="E155" s="4"/>
      <c r="F155" s="4"/>
      <c r="G155" s="4"/>
      <c r="H155" s="4"/>
      <c r="I155" s="4"/>
      <c r="J155" s="4"/>
      <c r="K155" s="4"/>
      <c r="L155" s="4"/>
      <c r="M155" s="4"/>
      <c r="N155" s="4"/>
      <c r="O155" s="4"/>
      <c r="P155" s="4"/>
      <c r="Q155" s="4"/>
      <c r="R155" s="4"/>
      <c r="S155" s="4"/>
      <c r="T155" s="4"/>
      <c r="U155" s="4"/>
      <c r="V155" s="4"/>
      <c r="X155" s="2" t="e">
        <f t="shared" si="21"/>
        <v>#DIV/0!</v>
      </c>
    </row>
    <row r="156" spans="1:45" x14ac:dyDescent="0.3">
      <c r="A156" s="82"/>
      <c r="B156" s="83"/>
      <c r="C156" s="144">
        <f t="shared" ref="C156:X156" si="22">SUM(C149:C155)</f>
        <v>0</v>
      </c>
      <c r="D156" s="144">
        <f t="shared" si="22"/>
        <v>0</v>
      </c>
      <c r="E156" s="144">
        <f t="shared" si="22"/>
        <v>0</v>
      </c>
      <c r="F156" s="144">
        <f t="shared" si="22"/>
        <v>0</v>
      </c>
      <c r="G156" s="144">
        <f t="shared" si="22"/>
        <v>0</v>
      </c>
      <c r="H156" s="144">
        <f t="shared" si="22"/>
        <v>0</v>
      </c>
      <c r="I156" s="144">
        <f t="shared" si="22"/>
        <v>0</v>
      </c>
      <c r="J156" s="144">
        <f t="shared" si="22"/>
        <v>0</v>
      </c>
      <c r="K156" s="144">
        <f t="shared" si="22"/>
        <v>0</v>
      </c>
      <c r="L156" s="144">
        <f t="shared" si="22"/>
        <v>0</v>
      </c>
      <c r="M156" s="144">
        <f t="shared" si="22"/>
        <v>0</v>
      </c>
      <c r="N156" s="144">
        <f t="shared" si="22"/>
        <v>0</v>
      </c>
      <c r="O156" s="144">
        <f t="shared" si="22"/>
        <v>0</v>
      </c>
      <c r="P156" s="144">
        <f t="shared" si="22"/>
        <v>0</v>
      </c>
      <c r="Q156" s="144">
        <f t="shared" si="22"/>
        <v>0</v>
      </c>
      <c r="R156" s="144">
        <f t="shared" si="22"/>
        <v>0</v>
      </c>
      <c r="S156" s="144">
        <f t="shared" si="22"/>
        <v>0</v>
      </c>
      <c r="T156" s="144">
        <f t="shared" si="22"/>
        <v>0</v>
      </c>
      <c r="U156" s="144">
        <f t="shared" si="22"/>
        <v>0</v>
      </c>
      <c r="V156" s="144">
        <f t="shared" si="22"/>
        <v>0</v>
      </c>
      <c r="W156" s="144">
        <f t="shared" si="22"/>
        <v>0</v>
      </c>
      <c r="X156" s="144" t="e">
        <f t="shared" si="22"/>
        <v>#DIV/0!</v>
      </c>
    </row>
    <row r="157" spans="1:45" x14ac:dyDescent="0.3">
      <c r="A157" s="47"/>
      <c r="B157" s="60"/>
    </row>
    <row r="158" spans="1:45" s="95" customFormat="1" x14ac:dyDescent="0.3">
      <c r="A158" s="93" t="s">
        <v>490</v>
      </c>
      <c r="B158" s="94"/>
      <c r="C158" s="429" t="s">
        <v>51</v>
      </c>
      <c r="D158" s="429" t="s">
        <v>52</v>
      </c>
      <c r="E158" s="429" t="s">
        <v>53</v>
      </c>
      <c r="F158" s="429" t="s">
        <v>54</v>
      </c>
      <c r="G158" s="429" t="s">
        <v>55</v>
      </c>
      <c r="H158" s="429" t="s">
        <v>56</v>
      </c>
      <c r="I158" s="429" t="s">
        <v>57</v>
      </c>
      <c r="J158" s="429" t="s">
        <v>58</v>
      </c>
      <c r="K158" s="429" t="s">
        <v>59</v>
      </c>
      <c r="L158" s="429" t="s">
        <v>60</v>
      </c>
      <c r="M158" s="429" t="s">
        <v>61</v>
      </c>
      <c r="N158" s="429" t="s">
        <v>62</v>
      </c>
      <c r="O158" s="429" t="s">
        <v>63</v>
      </c>
      <c r="P158" s="429" t="s">
        <v>64</v>
      </c>
      <c r="Q158" s="429" t="s">
        <v>65</v>
      </c>
      <c r="R158" s="429" t="s">
        <v>66</v>
      </c>
      <c r="S158" s="429" t="s">
        <v>67</v>
      </c>
      <c r="T158" s="429" t="s">
        <v>68</v>
      </c>
      <c r="U158" s="429" t="s">
        <v>69</v>
      </c>
      <c r="V158" s="429" t="s">
        <v>70</v>
      </c>
      <c r="W158" s="429"/>
      <c r="X158" s="429" t="s">
        <v>75</v>
      </c>
      <c r="Y158" s="97"/>
      <c r="Z158" s="97"/>
      <c r="AA158" s="97"/>
      <c r="AB158" s="97"/>
      <c r="AC158" s="97"/>
      <c r="AD158" s="97"/>
      <c r="AE158" s="97"/>
      <c r="AF158" s="97"/>
      <c r="AG158" s="96"/>
      <c r="AH158" s="96"/>
      <c r="AI158" s="96"/>
      <c r="AJ158" s="97"/>
      <c r="AK158" s="97"/>
      <c r="AL158" s="97"/>
      <c r="AM158" s="97"/>
      <c r="AN158" s="97"/>
      <c r="AO158" s="97"/>
      <c r="AP158" s="97"/>
      <c r="AQ158" s="97"/>
      <c r="AR158" s="97"/>
      <c r="AS158" s="97"/>
    </row>
    <row r="159" spans="1:45" s="47" customFormat="1" ht="15" customHeight="1" x14ac:dyDescent="0.3">
      <c r="A159" s="106" t="s">
        <v>92</v>
      </c>
      <c r="B159" s="52" t="s">
        <v>47</v>
      </c>
      <c r="C159" s="64" t="s">
        <v>49</v>
      </c>
      <c r="D159" s="109"/>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0"/>
      <c r="AC159" s="60"/>
      <c r="AD159" s="60"/>
      <c r="AE159" s="61"/>
      <c r="AF159" s="61"/>
      <c r="AG159" s="61"/>
      <c r="AH159" s="61"/>
      <c r="AI159" s="61"/>
      <c r="AJ159" s="61"/>
      <c r="AK159" s="61"/>
      <c r="AL159" s="61"/>
      <c r="AM159" s="61"/>
      <c r="AN159" s="61"/>
    </row>
    <row r="160" spans="1:45" s="47" customFormat="1" ht="13.2" customHeight="1" x14ac:dyDescent="0.3">
      <c r="A160" s="112"/>
      <c r="B160" s="52"/>
      <c r="C160" s="64" t="str">
        <f>Inputs!C20</f>
        <v>NGN</v>
      </c>
      <c r="D160" s="109"/>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0"/>
      <c r="AC160" s="60"/>
      <c r="AD160" s="60"/>
      <c r="AE160" s="61"/>
      <c r="AF160" s="61"/>
      <c r="AG160" s="61"/>
      <c r="AH160" s="61"/>
      <c r="AI160" s="61"/>
      <c r="AJ160" s="61"/>
      <c r="AK160" s="61"/>
      <c r="AL160" s="61"/>
      <c r="AM160" s="61"/>
      <c r="AN160" s="61"/>
    </row>
    <row r="161" spans="1:24" x14ac:dyDescent="0.3">
      <c r="A161" s="55" t="str">
        <f>A149</f>
        <v>placeholder1 (Lifeline)</v>
      </c>
      <c r="B161" s="224" t="s">
        <v>493</v>
      </c>
      <c r="C161" s="4" t="s">
        <v>21</v>
      </c>
      <c r="D161" s="4"/>
      <c r="E161" s="4"/>
      <c r="F161" s="4"/>
      <c r="G161" s="4"/>
      <c r="H161" s="4"/>
      <c r="I161" s="4"/>
      <c r="J161" s="4"/>
      <c r="K161" s="4"/>
      <c r="L161" s="4"/>
      <c r="M161" s="4"/>
      <c r="N161" s="4"/>
      <c r="O161" s="4"/>
      <c r="P161" s="4"/>
      <c r="Q161" s="4"/>
      <c r="R161" s="4"/>
      <c r="S161" s="4"/>
      <c r="T161" s="4"/>
      <c r="U161" s="4"/>
      <c r="V161" s="4"/>
      <c r="X161" s="2" t="e">
        <f>AVERAGE(C161:W161)</f>
        <v>#DIV/0!</v>
      </c>
    </row>
    <row r="162" spans="1:24" x14ac:dyDescent="0.3">
      <c r="A162" s="55" t="str">
        <f t="shared" ref="A162:A166" si="23">A150</f>
        <v>placeholder2 (Households)</v>
      </c>
      <c r="B162" s="224" t="s">
        <v>493</v>
      </c>
      <c r="C162" s="4" t="s">
        <v>21</v>
      </c>
      <c r="D162" s="4"/>
      <c r="E162" s="4"/>
      <c r="F162" s="4"/>
      <c r="G162" s="4"/>
      <c r="H162" s="4"/>
      <c r="I162" s="4"/>
      <c r="J162" s="4"/>
      <c r="K162" s="4"/>
      <c r="L162" s="4"/>
      <c r="M162" s="4"/>
      <c r="N162" s="4"/>
      <c r="O162" s="4"/>
      <c r="P162" s="4"/>
      <c r="Q162" s="4"/>
      <c r="R162" s="4"/>
      <c r="S162" s="4"/>
      <c r="T162" s="4"/>
      <c r="U162" s="4"/>
      <c r="V162" s="4"/>
      <c r="X162" s="2" t="e">
        <f t="shared" ref="X162:X167" si="24">AVERAGE(C162:W162)</f>
        <v>#DIV/0!</v>
      </c>
    </row>
    <row r="163" spans="1:24" x14ac:dyDescent="0.3">
      <c r="A163" s="55" t="str">
        <f t="shared" si="23"/>
        <v>placeholder3 (Business basic shops for lighting)</v>
      </c>
      <c r="B163" s="224" t="s">
        <v>493</v>
      </c>
      <c r="C163" s="4" t="s">
        <v>21</v>
      </c>
      <c r="D163" s="4"/>
      <c r="E163" s="4"/>
      <c r="F163" s="4"/>
      <c r="G163" s="4"/>
      <c r="H163" s="4"/>
      <c r="I163" s="4"/>
      <c r="J163" s="4"/>
      <c r="K163" s="4"/>
      <c r="L163" s="4"/>
      <c r="M163" s="4"/>
      <c r="N163" s="4"/>
      <c r="O163" s="4"/>
      <c r="P163" s="4"/>
      <c r="Q163" s="4"/>
      <c r="R163" s="4"/>
      <c r="S163" s="4"/>
      <c r="T163" s="4"/>
      <c r="U163" s="4"/>
      <c r="V163" s="4"/>
      <c r="X163" s="2" t="e">
        <f t="shared" si="24"/>
        <v>#DIV/0!</v>
      </c>
    </row>
    <row r="164" spans="1:24" x14ac:dyDescent="0.3">
      <c r="A164" s="55" t="str">
        <f t="shared" si="23"/>
        <v>placeholder4 (Business with appliances like fridges, freezers, etc)</v>
      </c>
      <c r="B164" s="224" t="s">
        <v>493</v>
      </c>
      <c r="C164" s="4" t="s">
        <v>21</v>
      </c>
      <c r="D164" s="4"/>
      <c r="E164" s="4"/>
      <c r="F164" s="4"/>
      <c r="G164" s="4"/>
      <c r="H164" s="4"/>
      <c r="I164" s="4"/>
      <c r="J164" s="4"/>
      <c r="K164" s="4"/>
      <c r="L164" s="4"/>
      <c r="M164" s="4"/>
      <c r="N164" s="4"/>
      <c r="O164" s="4"/>
      <c r="P164" s="4"/>
      <c r="Q164" s="4"/>
      <c r="R164" s="4"/>
      <c r="S164" s="4"/>
      <c r="T164" s="4"/>
      <c r="U164" s="4"/>
      <c r="V164" s="4"/>
      <c r="X164" s="2" t="e">
        <f t="shared" si="24"/>
        <v>#DIV/0!</v>
      </c>
    </row>
    <row r="165" spans="1:24" x14ac:dyDescent="0.3">
      <c r="A165" s="55" t="str">
        <f t="shared" si="23"/>
        <v>placeholder5 (Anchor-Mines/Timber Mills/Procesors, Bank, etc)</v>
      </c>
      <c r="B165" s="224" t="s">
        <v>493</v>
      </c>
      <c r="C165" s="4" t="s">
        <v>21</v>
      </c>
      <c r="D165" s="4"/>
      <c r="E165" s="4"/>
      <c r="F165" s="4"/>
      <c r="G165" s="4"/>
      <c r="H165" s="4"/>
      <c r="I165" s="4"/>
      <c r="J165" s="4"/>
      <c r="K165" s="4"/>
      <c r="L165" s="4"/>
      <c r="M165" s="4"/>
      <c r="N165" s="4"/>
      <c r="O165" s="4"/>
      <c r="P165" s="4"/>
      <c r="Q165" s="4"/>
      <c r="R165" s="4"/>
      <c r="S165" s="4"/>
      <c r="T165" s="4"/>
      <c r="U165" s="4"/>
      <c r="V165" s="4"/>
      <c r="X165" s="2" t="e">
        <f t="shared" si="24"/>
        <v>#DIV/0!</v>
      </c>
    </row>
    <row r="166" spans="1:24" x14ac:dyDescent="0.3">
      <c r="A166" s="55" t="str">
        <f t="shared" si="23"/>
        <v>placeholder6 (Institutions – schools, health centres, admin centres, etc)</v>
      </c>
      <c r="B166" s="224" t="s">
        <v>493</v>
      </c>
      <c r="C166" s="4" t="s">
        <v>21</v>
      </c>
      <c r="D166" s="4"/>
      <c r="E166" s="4"/>
      <c r="F166" s="4"/>
      <c r="G166" s="4"/>
      <c r="H166" s="4"/>
      <c r="I166" s="4"/>
      <c r="J166" s="4"/>
      <c r="K166" s="4"/>
      <c r="L166" s="4"/>
      <c r="M166" s="4"/>
      <c r="N166" s="4"/>
      <c r="O166" s="4"/>
      <c r="P166" s="4"/>
      <c r="Q166" s="4"/>
      <c r="R166" s="4"/>
      <c r="S166" s="4"/>
      <c r="T166" s="4"/>
      <c r="U166" s="4"/>
      <c r="V166" s="4"/>
      <c r="X166" s="2" t="e">
        <f t="shared" si="24"/>
        <v>#DIV/0!</v>
      </c>
    </row>
    <row r="167" spans="1:24" x14ac:dyDescent="0.3">
      <c r="A167" s="55"/>
      <c r="B167" s="5"/>
      <c r="C167" s="4"/>
      <c r="D167" s="4"/>
      <c r="E167" s="4"/>
      <c r="F167" s="4"/>
      <c r="G167" s="4"/>
      <c r="H167" s="4"/>
      <c r="I167" s="4"/>
      <c r="J167" s="4"/>
      <c r="K167" s="4"/>
      <c r="L167" s="4"/>
      <c r="M167" s="4"/>
      <c r="N167" s="4"/>
      <c r="O167" s="4"/>
      <c r="P167" s="4"/>
      <c r="Q167" s="4"/>
      <c r="R167" s="4"/>
      <c r="S167" s="4"/>
      <c r="T167" s="4"/>
      <c r="U167" s="4"/>
      <c r="V167" s="4"/>
      <c r="X167" s="2" t="e">
        <f t="shared" si="24"/>
        <v>#DIV/0!</v>
      </c>
    </row>
    <row r="168" spans="1:24" x14ac:dyDescent="0.3">
      <c r="A168" s="82"/>
      <c r="B168" s="83"/>
      <c r="C168" s="192" t="e">
        <f>AVERAGE(C161:C167)</f>
        <v>#DIV/0!</v>
      </c>
      <c r="D168" s="192" t="e">
        <f t="shared" ref="D168:X168" si="25">AVERAGE(D161:D167)</f>
        <v>#DIV/0!</v>
      </c>
      <c r="E168" s="192" t="e">
        <f t="shared" si="25"/>
        <v>#DIV/0!</v>
      </c>
      <c r="F168" s="192" t="e">
        <f t="shared" si="25"/>
        <v>#DIV/0!</v>
      </c>
      <c r="G168" s="192" t="e">
        <f t="shared" si="25"/>
        <v>#DIV/0!</v>
      </c>
      <c r="H168" s="192" t="e">
        <f t="shared" si="25"/>
        <v>#DIV/0!</v>
      </c>
      <c r="I168" s="192" t="e">
        <f t="shared" si="25"/>
        <v>#DIV/0!</v>
      </c>
      <c r="J168" s="192" t="e">
        <f t="shared" si="25"/>
        <v>#DIV/0!</v>
      </c>
      <c r="K168" s="192" t="e">
        <f t="shared" si="25"/>
        <v>#DIV/0!</v>
      </c>
      <c r="L168" s="192" t="e">
        <f t="shared" si="25"/>
        <v>#DIV/0!</v>
      </c>
      <c r="M168" s="192" t="e">
        <f t="shared" si="25"/>
        <v>#DIV/0!</v>
      </c>
      <c r="N168" s="192" t="e">
        <f t="shared" si="25"/>
        <v>#DIV/0!</v>
      </c>
      <c r="O168" s="192" t="e">
        <f t="shared" si="25"/>
        <v>#DIV/0!</v>
      </c>
      <c r="P168" s="192" t="e">
        <f t="shared" si="25"/>
        <v>#DIV/0!</v>
      </c>
      <c r="Q168" s="192" t="e">
        <f t="shared" si="25"/>
        <v>#DIV/0!</v>
      </c>
      <c r="R168" s="192" t="e">
        <f t="shared" si="25"/>
        <v>#DIV/0!</v>
      </c>
      <c r="S168" s="192" t="e">
        <f t="shared" si="25"/>
        <v>#DIV/0!</v>
      </c>
      <c r="T168" s="192" t="e">
        <f t="shared" si="25"/>
        <v>#DIV/0!</v>
      </c>
      <c r="U168" s="192" t="e">
        <f t="shared" si="25"/>
        <v>#DIV/0!</v>
      </c>
      <c r="V168" s="192" t="e">
        <f t="shared" si="25"/>
        <v>#DIV/0!</v>
      </c>
      <c r="W168"/>
      <c r="X168" s="192" t="e">
        <f t="shared" si="25"/>
        <v>#DIV/0!</v>
      </c>
    </row>
    <row r="169" spans="1:24" x14ac:dyDescent="0.3">
      <c r="A169" s="47"/>
      <c r="B169" s="60"/>
      <c r="E169" s="57"/>
      <c r="J169" s="45"/>
    </row>
    <row r="170" spans="1:24" x14ac:dyDescent="0.3">
      <c r="A170" s="47"/>
      <c r="B170" s="60"/>
    </row>
    <row r="171" spans="1:24" x14ac:dyDescent="0.3">
      <c r="A171" s="47"/>
      <c r="B171" s="60"/>
    </row>
    <row r="172" spans="1:24" x14ac:dyDescent="0.3">
      <c r="A172" s="47"/>
      <c r="B172" s="60"/>
    </row>
    <row r="173" spans="1:24" x14ac:dyDescent="0.3">
      <c r="A173" s="47"/>
      <c r="B173" s="60"/>
    </row>
    <row r="174" spans="1:24" x14ac:dyDescent="0.3">
      <c r="A174" s="47"/>
      <c r="B174" s="60"/>
    </row>
    <row r="175" spans="1:24" x14ac:dyDescent="0.3">
      <c r="A175" s="47"/>
      <c r="B175" s="60"/>
    </row>
    <row r="176" spans="1:24" x14ac:dyDescent="0.3">
      <c r="A176" s="47"/>
      <c r="B176" s="60"/>
    </row>
    <row r="177" spans="1:2" x14ac:dyDescent="0.3">
      <c r="A177" s="47"/>
      <c r="B177" s="60"/>
    </row>
    <row r="178" spans="1:2" x14ac:dyDescent="0.3">
      <c r="A178" s="47"/>
      <c r="B178" s="60"/>
    </row>
    <row r="179" spans="1:2" x14ac:dyDescent="0.3">
      <c r="A179" s="47"/>
      <c r="B179" s="60"/>
    </row>
    <row r="180" spans="1:2" x14ac:dyDescent="0.3">
      <c r="A180" s="47"/>
      <c r="B180" s="60"/>
    </row>
    <row r="181" spans="1:2" x14ac:dyDescent="0.3">
      <c r="A181" s="47"/>
      <c r="B181" s="60"/>
    </row>
    <row r="182" spans="1:2" x14ac:dyDescent="0.3">
      <c r="A182" s="47"/>
      <c r="B182" s="60"/>
    </row>
    <row r="183" spans="1:2" x14ac:dyDescent="0.3">
      <c r="A183" s="47"/>
      <c r="B183" s="60"/>
    </row>
    <row r="184" spans="1:2" x14ac:dyDescent="0.3">
      <c r="A184" s="47"/>
      <c r="B184" s="60"/>
    </row>
    <row r="185" spans="1:2" x14ac:dyDescent="0.3">
      <c r="A185" s="47"/>
      <c r="B185" s="60"/>
    </row>
    <row r="186" spans="1:2" x14ac:dyDescent="0.3">
      <c r="A186" s="47"/>
      <c r="B186" s="60"/>
    </row>
    <row r="187" spans="1:2" x14ac:dyDescent="0.3">
      <c r="A187" s="47"/>
      <c r="B187" s="60"/>
    </row>
    <row r="188" spans="1:2" x14ac:dyDescent="0.3">
      <c r="A188" s="47"/>
      <c r="B188" s="60"/>
    </row>
    <row r="189" spans="1:2" x14ac:dyDescent="0.3">
      <c r="A189" s="47"/>
      <c r="B189" s="60"/>
    </row>
    <row r="190" spans="1:2" x14ac:dyDescent="0.3">
      <c r="A190" s="47"/>
      <c r="B190" s="60"/>
    </row>
    <row r="191" spans="1:2" x14ac:dyDescent="0.3">
      <c r="A191" s="47"/>
      <c r="B191" s="60"/>
    </row>
    <row r="192" spans="1:2" x14ac:dyDescent="0.3">
      <c r="A192" s="47"/>
      <c r="B192" s="60"/>
    </row>
    <row r="193" spans="1:2" x14ac:dyDescent="0.3">
      <c r="A193" s="47"/>
      <c r="B193" s="60"/>
    </row>
    <row r="194" spans="1:2" x14ac:dyDescent="0.3">
      <c r="A194" s="47"/>
      <c r="B194" s="60"/>
    </row>
    <row r="195" spans="1:2" x14ac:dyDescent="0.3">
      <c r="A195" s="47"/>
      <c r="B195" s="60"/>
    </row>
    <row r="196" spans="1:2" x14ac:dyDescent="0.3">
      <c r="A196" s="47"/>
      <c r="B196" s="60"/>
    </row>
    <row r="197" spans="1:2" x14ac:dyDescent="0.3">
      <c r="A197" s="47"/>
      <c r="B197" s="60"/>
    </row>
    <row r="198" spans="1:2" x14ac:dyDescent="0.3">
      <c r="A198" s="47"/>
      <c r="B198" s="60"/>
    </row>
    <row r="199" spans="1:2" x14ac:dyDescent="0.3">
      <c r="A199" s="47"/>
      <c r="B199" s="60"/>
    </row>
    <row r="200" spans="1:2" x14ac:dyDescent="0.3">
      <c r="A200" s="47"/>
      <c r="B200" s="60"/>
    </row>
    <row r="201" spans="1:2" x14ac:dyDescent="0.3">
      <c r="A201" s="47"/>
      <c r="B201" s="60"/>
    </row>
    <row r="202" spans="1:2" x14ac:dyDescent="0.3">
      <c r="A202" s="47"/>
      <c r="B202" s="60"/>
    </row>
    <row r="203" spans="1:2" x14ac:dyDescent="0.3">
      <c r="A203" s="47"/>
      <c r="B203" s="60"/>
    </row>
    <row r="204" spans="1:2" x14ac:dyDescent="0.3">
      <c r="A204" s="47"/>
      <c r="B204" s="60"/>
    </row>
    <row r="205" spans="1:2" x14ac:dyDescent="0.3">
      <c r="A205" s="47"/>
      <c r="B205" s="60"/>
    </row>
    <row r="206" spans="1:2" x14ac:dyDescent="0.3">
      <c r="A206" s="47"/>
      <c r="B206" s="60"/>
    </row>
    <row r="207" spans="1:2" x14ac:dyDescent="0.3">
      <c r="A207" s="47"/>
      <c r="B207" s="60"/>
    </row>
    <row r="208" spans="1:2" x14ac:dyDescent="0.3">
      <c r="A208" s="47"/>
      <c r="B208" s="60"/>
    </row>
    <row r="209" spans="1:2" x14ac:dyDescent="0.3">
      <c r="A209" s="47"/>
      <c r="B209" s="60"/>
    </row>
    <row r="210" spans="1:2" x14ac:dyDescent="0.3">
      <c r="A210" s="47"/>
      <c r="B210" s="60"/>
    </row>
    <row r="211" spans="1:2" x14ac:dyDescent="0.3">
      <c r="A211" s="47"/>
      <c r="B211" s="60"/>
    </row>
    <row r="212" spans="1:2" x14ac:dyDescent="0.3">
      <c r="A212" s="47"/>
      <c r="B212" s="60"/>
    </row>
    <row r="213" spans="1:2" x14ac:dyDescent="0.3">
      <c r="A213" s="47"/>
      <c r="B213" s="60"/>
    </row>
    <row r="214" spans="1:2" x14ac:dyDescent="0.3">
      <c r="A214" s="47"/>
      <c r="B214" s="60"/>
    </row>
    <row r="215" spans="1:2" x14ac:dyDescent="0.3">
      <c r="A215" s="47"/>
      <c r="B215" s="60"/>
    </row>
    <row r="216" spans="1:2" x14ac:dyDescent="0.3">
      <c r="A216" s="47"/>
      <c r="B216" s="60"/>
    </row>
    <row r="217" spans="1:2" x14ac:dyDescent="0.3">
      <c r="A217" s="47"/>
      <c r="B217" s="60"/>
    </row>
    <row r="218" spans="1:2" x14ac:dyDescent="0.3">
      <c r="A218" s="47"/>
      <c r="B218" s="60"/>
    </row>
    <row r="219" spans="1:2" x14ac:dyDescent="0.3">
      <c r="A219" s="47"/>
      <c r="B219" s="60"/>
    </row>
    <row r="220" spans="1:2" x14ac:dyDescent="0.3">
      <c r="A220" s="47"/>
      <c r="B220" s="60"/>
    </row>
    <row r="221" spans="1:2" x14ac:dyDescent="0.3">
      <c r="A221" s="47"/>
      <c r="B221" s="60"/>
    </row>
    <row r="222" spans="1:2" x14ac:dyDescent="0.3">
      <c r="A222" s="47"/>
      <c r="B222" s="60"/>
    </row>
    <row r="223" spans="1:2" x14ac:dyDescent="0.3">
      <c r="A223" s="47"/>
      <c r="B223" s="60"/>
    </row>
    <row r="224" spans="1:2" x14ac:dyDescent="0.3">
      <c r="A224" s="47"/>
      <c r="B224" s="60"/>
    </row>
    <row r="225" spans="1:2" x14ac:dyDescent="0.3">
      <c r="A225" s="47"/>
      <c r="B225" s="60"/>
    </row>
    <row r="226" spans="1:2" x14ac:dyDescent="0.3">
      <c r="A226" s="47"/>
      <c r="B226" s="60"/>
    </row>
    <row r="227" spans="1:2" x14ac:dyDescent="0.3">
      <c r="A227" s="47"/>
      <c r="B227" s="60"/>
    </row>
    <row r="228" spans="1:2" x14ac:dyDescent="0.3">
      <c r="A228" s="47"/>
      <c r="B228" s="60"/>
    </row>
    <row r="229" spans="1:2" x14ac:dyDescent="0.3">
      <c r="A229" s="47"/>
      <c r="B229" s="60"/>
    </row>
    <row r="230" spans="1:2" x14ac:dyDescent="0.3">
      <c r="A230" s="47"/>
      <c r="B230" s="60"/>
    </row>
    <row r="231" spans="1:2" x14ac:dyDescent="0.3">
      <c r="A231" s="47"/>
      <c r="B231" s="60"/>
    </row>
    <row r="232" spans="1:2" x14ac:dyDescent="0.3">
      <c r="A232" s="47"/>
      <c r="B232" s="60"/>
    </row>
    <row r="233" spans="1:2" x14ac:dyDescent="0.3">
      <c r="A233" s="47"/>
      <c r="B233" s="60"/>
    </row>
    <row r="234" spans="1:2" x14ac:dyDescent="0.3">
      <c r="A234" s="47"/>
      <c r="B234" s="60"/>
    </row>
    <row r="235" spans="1:2" x14ac:dyDescent="0.3">
      <c r="A235" s="47"/>
      <c r="B235" s="60"/>
    </row>
    <row r="236" spans="1:2" x14ac:dyDescent="0.3">
      <c r="A236" s="47"/>
      <c r="B236" s="60"/>
    </row>
    <row r="237" spans="1:2" x14ac:dyDescent="0.3">
      <c r="A237" s="47"/>
      <c r="B237" s="60"/>
    </row>
    <row r="238" spans="1:2" x14ac:dyDescent="0.3">
      <c r="A238" s="47"/>
      <c r="B238" s="60"/>
    </row>
    <row r="239" spans="1:2" x14ac:dyDescent="0.3">
      <c r="A239" s="47"/>
      <c r="B239" s="60"/>
    </row>
    <row r="240" spans="1:2" x14ac:dyDescent="0.3">
      <c r="A240" s="47"/>
      <c r="B240" s="60"/>
    </row>
    <row r="241" spans="1:2" x14ac:dyDescent="0.3">
      <c r="A241" s="47"/>
      <c r="B241" s="60"/>
    </row>
    <row r="242" spans="1:2" x14ac:dyDescent="0.3">
      <c r="A242" s="47"/>
      <c r="B242" s="60"/>
    </row>
    <row r="243" spans="1:2" x14ac:dyDescent="0.3">
      <c r="A243" s="47"/>
      <c r="B243" s="60"/>
    </row>
    <row r="244" spans="1:2" x14ac:dyDescent="0.3">
      <c r="A244" s="47"/>
      <c r="B244" s="60"/>
    </row>
    <row r="245" spans="1:2" x14ac:dyDescent="0.3">
      <c r="A245" s="47"/>
      <c r="B245" s="60"/>
    </row>
    <row r="246" spans="1:2" x14ac:dyDescent="0.3">
      <c r="A246" s="47"/>
      <c r="B246" s="60"/>
    </row>
    <row r="247" spans="1:2" x14ac:dyDescent="0.3">
      <c r="A247" s="47"/>
      <c r="B247" s="60"/>
    </row>
    <row r="248" spans="1:2" x14ac:dyDescent="0.3">
      <c r="A248" s="47"/>
      <c r="B248" s="60"/>
    </row>
    <row r="249" spans="1:2" x14ac:dyDescent="0.3">
      <c r="A249" s="47"/>
      <c r="B249" s="60"/>
    </row>
    <row r="250" spans="1:2" x14ac:dyDescent="0.3">
      <c r="A250" s="47"/>
      <c r="B250" s="60"/>
    </row>
    <row r="251" spans="1:2" x14ac:dyDescent="0.3">
      <c r="A251" s="47"/>
      <c r="B251" s="60"/>
    </row>
    <row r="252" spans="1:2" x14ac:dyDescent="0.3">
      <c r="A252" s="47"/>
      <c r="B252" s="60"/>
    </row>
    <row r="253" spans="1:2" x14ac:dyDescent="0.3">
      <c r="A253" s="47"/>
      <c r="B253" s="60"/>
    </row>
    <row r="254" spans="1:2" x14ac:dyDescent="0.3">
      <c r="A254" s="47"/>
      <c r="B254" s="60"/>
    </row>
    <row r="255" spans="1:2" x14ac:dyDescent="0.3">
      <c r="A255" s="47"/>
      <c r="B255" s="60"/>
    </row>
    <row r="256" spans="1:2" x14ac:dyDescent="0.3">
      <c r="A256" s="47"/>
      <c r="B256" s="60"/>
    </row>
    <row r="257" spans="1:2" x14ac:dyDescent="0.3">
      <c r="A257" s="47"/>
      <c r="B257" s="60"/>
    </row>
    <row r="258" spans="1:2" x14ac:dyDescent="0.3">
      <c r="A258" s="47"/>
      <c r="B258" s="60"/>
    </row>
    <row r="259" spans="1:2" x14ac:dyDescent="0.3">
      <c r="A259" s="47"/>
      <c r="B259" s="60"/>
    </row>
    <row r="260" spans="1:2" x14ac:dyDescent="0.3">
      <c r="A260" s="47"/>
      <c r="B260" s="60"/>
    </row>
    <row r="261" spans="1:2" x14ac:dyDescent="0.3">
      <c r="A261" s="47"/>
      <c r="B261" s="60"/>
    </row>
    <row r="262" spans="1:2" x14ac:dyDescent="0.3">
      <c r="A262" s="47"/>
      <c r="B262" s="60"/>
    </row>
    <row r="263" spans="1:2" x14ac:dyDescent="0.3">
      <c r="A263" s="47"/>
      <c r="B263" s="60"/>
    </row>
    <row r="264" spans="1:2" x14ac:dyDescent="0.3">
      <c r="A264" s="47"/>
      <c r="B264" s="60"/>
    </row>
    <row r="265" spans="1:2" x14ac:dyDescent="0.3">
      <c r="A265" s="47"/>
      <c r="B265" s="60"/>
    </row>
    <row r="266" spans="1:2" x14ac:dyDescent="0.3">
      <c r="A266" s="47"/>
      <c r="B266" s="60"/>
    </row>
    <row r="267" spans="1:2" x14ac:dyDescent="0.3">
      <c r="A267" s="47"/>
      <c r="B267" s="60"/>
    </row>
    <row r="268" spans="1:2" x14ac:dyDescent="0.3">
      <c r="A268" s="47"/>
      <c r="B268" s="60"/>
    </row>
    <row r="269" spans="1:2" x14ac:dyDescent="0.3">
      <c r="A269" s="47"/>
      <c r="B269" s="60"/>
    </row>
    <row r="270" spans="1:2" x14ac:dyDescent="0.3">
      <c r="A270" s="47"/>
      <c r="B270" s="60"/>
    </row>
  </sheetData>
  <sheetProtection algorithmName="SHA-512" hashValue="CgFQPwYsKUY7DHhnpAw/bmS131rCXOLgjEePR5GznEoJLGj6Wqjy8YfEVI4vnIRa7QaLJoLOBgay3BwxAMwwMQ==" saltValue="PMEhkgLGIGrvjFpmUO0RCQ==" spinCount="100000" sheet="1" formatCells="0" formatColumns="0" formatRows="0" insertColumns="0" insertRows="0"/>
  <mergeCells count="58">
    <mergeCell ref="V147:V148"/>
    <mergeCell ref="X147:X148"/>
    <mergeCell ref="Q147:Q148"/>
    <mergeCell ref="R147:R148"/>
    <mergeCell ref="S147:S148"/>
    <mergeCell ref="T147:T148"/>
    <mergeCell ref="U147:U148"/>
    <mergeCell ref="P147:P148"/>
    <mergeCell ref="G147:G148"/>
    <mergeCell ref="H147:H148"/>
    <mergeCell ref="I147:I148"/>
    <mergeCell ref="J147:J148"/>
    <mergeCell ref="K147:K148"/>
    <mergeCell ref="L147:L148"/>
    <mergeCell ref="M147:M148"/>
    <mergeCell ref="N147:N148"/>
    <mergeCell ref="O147:O148"/>
    <mergeCell ref="B147:B148"/>
    <mergeCell ref="C147:C148"/>
    <mergeCell ref="D147:D148"/>
    <mergeCell ref="E147:E148"/>
    <mergeCell ref="F147:F148"/>
    <mergeCell ref="V135:V136"/>
    <mergeCell ref="X135:X136"/>
    <mergeCell ref="P135:P136"/>
    <mergeCell ref="Q135:Q136"/>
    <mergeCell ref="R135:R136"/>
    <mergeCell ref="S135:S136"/>
    <mergeCell ref="T135:T136"/>
    <mergeCell ref="C135:C136"/>
    <mergeCell ref="D135:D136"/>
    <mergeCell ref="E135:E136"/>
    <mergeCell ref="F135:F136"/>
    <mergeCell ref="G135:G136"/>
    <mergeCell ref="P42:R42"/>
    <mergeCell ref="S42:U42"/>
    <mergeCell ref="H135:H136"/>
    <mergeCell ref="I135:I136"/>
    <mergeCell ref="J135:J136"/>
    <mergeCell ref="K135:K136"/>
    <mergeCell ref="L135:L136"/>
    <mergeCell ref="U135:U136"/>
    <mergeCell ref="A79:C79"/>
    <mergeCell ref="B135:B136"/>
    <mergeCell ref="A22:X22"/>
    <mergeCell ref="A45:X45"/>
    <mergeCell ref="A61:X61"/>
    <mergeCell ref="A115:X115"/>
    <mergeCell ref="A97:C97"/>
    <mergeCell ref="V42:X42"/>
    <mergeCell ref="A42:C42"/>
    <mergeCell ref="D42:F42"/>
    <mergeCell ref="G42:I42"/>
    <mergeCell ref="J42:L42"/>
    <mergeCell ref="M42:O42"/>
    <mergeCell ref="M135:M136"/>
    <mergeCell ref="N135:N136"/>
    <mergeCell ref="O135:O136"/>
  </mergeCells>
  <dataValidations xWindow="1119" yWindow="848" count="8">
    <dataValidation allowBlank="1" showInputMessage="1" showErrorMessage="1" promptTitle="Note" prompt="Capacity Factor is the % representation of the actual production vs. the installed nameplate design capacity annual production of an energy project. " sqref="A7:B7" xr:uid="{6D8D85D6-C372-4BA4-8D58-F55E0C1BE7D6}"/>
    <dataValidation type="custom" allowBlank="1" showInputMessage="1" showErrorMessage="1" errorTitle="Error" error="This figure is fixed and therefore cannot be changed" promptTitle="Note" prompt="This value is fixed at 365 days/yr x 24 hrs/day= 8760 hrs per yr" sqref="C6:V6 X6" xr:uid="{96FAB698-7CF7-4AA7-9FCE-6C9DABCC3170}">
      <formula1>0</formula1>
    </dataValidation>
    <dataValidation allowBlank="1" showInputMessage="1" showErrorMessage="1" promptTitle="Note: " prompt="Includes the cost and installation of assets relevant to the generation and supply of electricity" sqref="A21" xr:uid="{A0A72B67-1013-4A95-9C45-6732376724CD}"/>
    <dataValidation type="list" allowBlank="1" showInputMessage="1" showErrorMessage="1" errorTitle="Error" error="Unit of Measurement entered is not allowed. Please choose one from amongst: Kw or MW" promptTitle="Units" prompt="Please select unit of measurements, i.e. kW or MW" sqref="B5" xr:uid="{82F0F1E1-C00E-4557-8E83-8A4D226C846D}">
      <formula1>"kWp,MWp"</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60CCB5B3-465A-41AA-A711-1A5A16FEE597}">
      <formula1>"kW,MW"</formula1>
    </dataValidation>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V15 X15" xr:uid="{EF3423E6-D313-4AFA-BA40-3CCE68D931AE}">
      <formula1>"0%,0.25%,0.5%,0.75%,1.0%"</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V16 X16" xr:uid="{C34BBD9D-F5AC-40E9-A519-FFAA1A7D7749}">
      <formula1>"25,24,23,22,21,20,19,18,17,16,15,14,13,12,11,10,9,8,7,6,5"</formula1>
    </dataValidation>
    <dataValidation type="decimal" allowBlank="1" showInputMessage="1" showErrorMessage="1" error="Value should be between 0% - 4% as stated in Section 22(3)(a) of the Mini Grid Regulations 2023." sqref="C11:V11" xr:uid="{C2F6EE10-B202-4DD5-B5E3-A5C59212D589}">
      <formula1>0</formula1>
      <formula2>0.04</formula2>
    </dataValidation>
  </dataValidations>
  <pageMargins left="0.7" right="0.7" top="0.75" bottom="0.75" header="0.3" footer="0.3"/>
  <pageSetup paperSize="9" orientation="portrait" r:id="rId1"/>
  <ignoredErrors>
    <ignoredError sqref="A42 B130:B131 X5:X6 A137:A144 A149:A154 D9:W9 Z9:AN9 W13 Z13:AN13 AK10:AN12" unlockedFormula="1"/>
    <ignoredError sqref="D10 E10:I10 J10:P10 Q10:U10 V10:W10 Z10:AJ12 X10 D13:V13 X12:X13 D12 E12:I12 J12:P12 Q12:U12 V12:W12 W11" formula="1" unlockedFormula="1"/>
    <ignoredError sqref="X9" evalError="1" unlockedFormula="1"/>
    <ignoredError sqref="X8" evalError="1" formula="1"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E952-284C-450A-A3EC-05D8E946F437}">
  <sheetPr>
    <tabColor theme="8" tint="0.59999389629810485"/>
  </sheetPr>
  <dimension ref="B1:AA86"/>
  <sheetViews>
    <sheetView workbookViewId="0">
      <selection activeCell="C7" sqref="C7"/>
    </sheetView>
  </sheetViews>
  <sheetFormatPr defaultColWidth="8.77734375" defaultRowHeight="14.4" x14ac:dyDescent="0.3"/>
  <cols>
    <col min="1" max="1" width="3.77734375" customWidth="1"/>
    <col min="2" max="2" width="49.21875" customWidth="1"/>
    <col min="3" max="3" width="16.21875" customWidth="1"/>
    <col min="4" max="4" width="16.44140625" customWidth="1"/>
    <col min="5" max="5" width="18.44140625" customWidth="1"/>
    <col min="6" max="6" width="16.44140625" customWidth="1"/>
    <col min="7" max="7" width="15.77734375" customWidth="1"/>
    <col min="8" max="8" width="13.77734375" customWidth="1"/>
    <col min="9" max="11" width="14.44140625" bestFit="1" customWidth="1"/>
    <col min="12" max="12" width="13.5546875" bestFit="1" customWidth="1"/>
    <col min="13" max="27" width="12.5546875" bestFit="1" customWidth="1"/>
  </cols>
  <sheetData>
    <row r="1" spans="2:27" ht="18" x14ac:dyDescent="0.35">
      <c r="B1" s="43" t="s">
        <v>530</v>
      </c>
    </row>
    <row r="2" spans="2:27" ht="18" x14ac:dyDescent="0.35">
      <c r="B2" s="43"/>
    </row>
    <row r="3" spans="2:27" x14ac:dyDescent="0.3">
      <c r="B3" s="519" t="s">
        <v>531</v>
      </c>
      <c r="C3" s="520"/>
      <c r="D3" s="520"/>
      <c r="E3" s="520"/>
      <c r="F3" s="520"/>
      <c r="G3" s="520"/>
      <c r="H3" s="520"/>
      <c r="I3" s="520"/>
      <c r="J3" s="520"/>
      <c r="K3" s="520"/>
      <c r="L3" s="520"/>
      <c r="M3" s="520"/>
      <c r="N3" s="520"/>
      <c r="O3" s="520"/>
      <c r="P3" s="520"/>
      <c r="Q3" s="520"/>
      <c r="R3" s="520"/>
      <c r="S3" s="520"/>
      <c r="T3" s="520"/>
      <c r="U3" s="520"/>
      <c r="V3" s="520"/>
      <c r="W3" s="520"/>
      <c r="X3" s="520"/>
      <c r="Y3" s="521"/>
      <c r="Z3" s="521"/>
      <c r="AA3" s="521"/>
    </row>
    <row r="4" spans="2:27" s="523" customFormat="1" x14ac:dyDescent="0.3">
      <c r="B4" s="522" t="s">
        <v>532</v>
      </c>
      <c r="C4" s="522"/>
      <c r="D4" s="522"/>
      <c r="E4" s="522"/>
      <c r="F4" s="522"/>
      <c r="G4" s="522"/>
      <c r="H4" s="522"/>
      <c r="I4" s="522"/>
      <c r="J4" s="522"/>
      <c r="K4" s="522"/>
      <c r="L4" s="522"/>
      <c r="M4" s="522"/>
      <c r="N4" s="522"/>
      <c r="O4" s="522"/>
      <c r="P4" s="522"/>
      <c r="Q4" s="522"/>
      <c r="R4" s="522"/>
      <c r="S4" s="522"/>
      <c r="T4" s="522"/>
      <c r="U4" s="522"/>
      <c r="V4" s="522"/>
      <c r="W4" s="522"/>
      <c r="X4" s="522"/>
    </row>
    <row r="5" spans="2:27" x14ac:dyDescent="0.3">
      <c r="B5" s="524"/>
      <c r="C5" s="524"/>
      <c r="D5" s="524"/>
      <c r="E5" s="524"/>
      <c r="F5" s="524"/>
      <c r="G5" s="524"/>
      <c r="H5" s="524"/>
      <c r="I5" s="524"/>
      <c r="J5" s="524"/>
      <c r="K5" s="524"/>
      <c r="L5" s="524"/>
      <c r="M5" s="524"/>
      <c r="N5" s="524"/>
      <c r="O5" s="524"/>
      <c r="P5" s="524"/>
      <c r="Q5" s="524"/>
      <c r="R5" s="524"/>
      <c r="S5" s="524"/>
      <c r="T5" s="524"/>
      <c r="U5" s="524"/>
      <c r="V5" s="524"/>
      <c r="W5" s="524"/>
      <c r="X5" s="524"/>
    </row>
    <row r="6" spans="2:27" x14ac:dyDescent="0.3">
      <c r="B6" s="525" t="s">
        <v>533</v>
      </c>
      <c r="C6" s="526" t="e">
        <f>Inputs!C187</f>
        <v>#DIV/0!</v>
      </c>
      <c r="D6" s="524"/>
      <c r="E6" s="524"/>
      <c r="F6" s="524"/>
      <c r="G6" s="524"/>
      <c r="H6" s="524"/>
      <c r="I6" s="524"/>
      <c r="J6" s="524"/>
      <c r="K6" s="524"/>
      <c r="L6" s="524"/>
      <c r="M6" s="524"/>
      <c r="N6" s="524"/>
      <c r="O6" s="524"/>
      <c r="P6" s="524"/>
      <c r="Q6" s="524"/>
      <c r="R6" s="524"/>
      <c r="S6" s="524"/>
      <c r="T6" s="524"/>
      <c r="U6" s="524"/>
      <c r="V6" s="524"/>
      <c r="W6" s="524"/>
      <c r="X6" s="524"/>
    </row>
    <row r="7" spans="2:27" x14ac:dyDescent="0.3">
      <c r="B7" s="525" t="s">
        <v>534</v>
      </c>
      <c r="C7" s="526">
        <f>Inputs!C214</f>
        <v>0</v>
      </c>
      <c r="D7" s="524"/>
      <c r="E7" s="524"/>
      <c r="F7" s="524"/>
      <c r="G7" s="524"/>
      <c r="H7" s="524"/>
      <c r="I7" s="524"/>
      <c r="J7" s="524"/>
      <c r="K7" s="524"/>
      <c r="L7" s="524"/>
      <c r="M7" s="524"/>
      <c r="N7" s="524"/>
      <c r="O7" s="524"/>
      <c r="P7" s="524"/>
      <c r="Q7" s="524"/>
      <c r="R7" s="524"/>
      <c r="S7" s="524"/>
      <c r="T7" s="524"/>
      <c r="U7" s="524"/>
      <c r="V7" s="524"/>
      <c r="W7" s="524"/>
      <c r="X7" s="524"/>
    </row>
    <row r="8" spans="2:27" x14ac:dyDescent="0.3">
      <c r="B8" s="525" t="s">
        <v>535</v>
      </c>
      <c r="C8" s="527">
        <f>Inputs!C216</f>
        <v>0</v>
      </c>
      <c r="D8" s="524"/>
      <c r="E8" s="524"/>
      <c r="F8" s="524"/>
      <c r="G8" s="524"/>
      <c r="H8" s="524"/>
      <c r="I8" s="524"/>
      <c r="J8" s="524"/>
      <c r="K8" s="524"/>
      <c r="L8" s="524"/>
      <c r="M8" s="524"/>
      <c r="N8" s="524"/>
      <c r="O8" s="524"/>
      <c r="P8" s="524"/>
      <c r="Q8" s="524"/>
      <c r="R8" s="524"/>
      <c r="S8" s="524"/>
      <c r="T8" s="524"/>
      <c r="U8" s="524"/>
      <c r="V8" s="524"/>
      <c r="W8" s="524"/>
      <c r="X8" s="524"/>
    </row>
    <row r="9" spans="2:27" x14ac:dyDescent="0.3">
      <c r="B9" s="524"/>
      <c r="C9" s="524"/>
      <c r="D9" s="524"/>
      <c r="E9" s="524"/>
      <c r="F9" s="524"/>
      <c r="G9" s="524"/>
      <c r="H9" s="524"/>
      <c r="I9" s="524"/>
      <c r="J9" s="524"/>
      <c r="K9" s="524"/>
      <c r="L9" s="524"/>
      <c r="M9" s="524"/>
      <c r="N9" s="524"/>
      <c r="O9" s="524"/>
      <c r="P9" s="524"/>
      <c r="Q9" s="524"/>
      <c r="R9" s="524"/>
      <c r="S9" s="524"/>
      <c r="T9" s="524"/>
      <c r="U9" s="524"/>
      <c r="V9" s="524"/>
      <c r="W9" s="524"/>
      <c r="X9" s="524"/>
    </row>
    <row r="10" spans="2:27" ht="15" thickBot="1" x14ac:dyDescent="0.35">
      <c r="B10" s="528" t="s">
        <v>150</v>
      </c>
      <c r="C10" s="529">
        <v>1</v>
      </c>
      <c r="D10" s="529">
        <f>C10+1</f>
        <v>2</v>
      </c>
      <c r="E10" s="529">
        <f t="shared" ref="E10:Z10" si="0">D10+1</f>
        <v>3</v>
      </c>
      <c r="F10" s="529">
        <f t="shared" si="0"/>
        <v>4</v>
      </c>
      <c r="G10" s="529">
        <f t="shared" si="0"/>
        <v>5</v>
      </c>
      <c r="H10" s="529">
        <f t="shared" si="0"/>
        <v>6</v>
      </c>
      <c r="I10" s="529">
        <f t="shared" si="0"/>
        <v>7</v>
      </c>
      <c r="J10" s="529">
        <f t="shared" si="0"/>
        <v>8</v>
      </c>
      <c r="K10" s="529">
        <f t="shared" si="0"/>
        <v>9</v>
      </c>
      <c r="L10" s="529">
        <f t="shared" si="0"/>
        <v>10</v>
      </c>
      <c r="M10" s="529">
        <f t="shared" si="0"/>
        <v>11</v>
      </c>
      <c r="N10" s="529">
        <f t="shared" si="0"/>
        <v>12</v>
      </c>
      <c r="O10" s="529">
        <f t="shared" si="0"/>
        <v>13</v>
      </c>
      <c r="P10" s="529">
        <f t="shared" si="0"/>
        <v>14</v>
      </c>
      <c r="Q10" s="529">
        <f t="shared" si="0"/>
        <v>15</v>
      </c>
      <c r="R10" s="529">
        <f t="shared" si="0"/>
        <v>16</v>
      </c>
      <c r="S10" s="529">
        <f t="shared" si="0"/>
        <v>17</v>
      </c>
      <c r="T10" s="529">
        <f t="shared" si="0"/>
        <v>18</v>
      </c>
      <c r="U10" s="529">
        <f t="shared" si="0"/>
        <v>19</v>
      </c>
      <c r="V10" s="529">
        <f t="shared" si="0"/>
        <v>20</v>
      </c>
      <c r="W10" s="529">
        <f t="shared" si="0"/>
        <v>21</v>
      </c>
      <c r="X10" s="529">
        <f>W10+1</f>
        <v>22</v>
      </c>
      <c r="Y10" s="530">
        <f t="shared" si="0"/>
        <v>23</v>
      </c>
      <c r="Z10" s="530">
        <f t="shared" si="0"/>
        <v>24</v>
      </c>
      <c r="AA10" s="530">
        <f>Z10+1</f>
        <v>25</v>
      </c>
    </row>
    <row r="11" spans="2:27" ht="15.6" thickTop="1" thickBot="1" x14ac:dyDescent="0.35">
      <c r="B11" s="531" t="s">
        <v>536</v>
      </c>
      <c r="C11" s="532" t="e">
        <f>(Calculations!D27*Calculations!$D54)/C8</f>
        <v>#DIV/0!</v>
      </c>
      <c r="D11" s="532" t="e">
        <f>((Calculations!E27*Calculations!$D54)/C8)</f>
        <v>#DIV/0!</v>
      </c>
      <c r="E11" s="532" t="e">
        <f>((Calculations!F27*Calculations!$D54)/C8)</f>
        <v>#DIV/0!</v>
      </c>
      <c r="F11" s="532" t="e">
        <f>((Calculations!G27*Calculations!$D54)/C8)</f>
        <v>#DIV/0!</v>
      </c>
      <c r="G11" s="532" t="e">
        <f>((Calculations!H27*Calculations!$D54)/C8)</f>
        <v>#DIV/0!</v>
      </c>
      <c r="H11" s="532" t="e">
        <f>(Calculations!I27*Calculations!$D54)/C8</f>
        <v>#DIV/0!</v>
      </c>
      <c r="I11" s="532" t="e">
        <f>(Calculations!J27*Calculations!$D54)/C8</f>
        <v>#DIV/0!</v>
      </c>
      <c r="J11" s="532" t="e">
        <f>(Calculations!K27*Calculations!$D54)/C8</f>
        <v>#DIV/0!</v>
      </c>
      <c r="K11" s="532" t="e">
        <f>(Calculations!L27*Calculations!$D54)/C8</f>
        <v>#DIV/0!</v>
      </c>
      <c r="L11" s="532" t="e">
        <f>(Calculations!M27*Calculations!$D54)/C8</f>
        <v>#DIV/0!</v>
      </c>
      <c r="M11" s="532" t="e">
        <f>(Calculations!N27*Calculations!$D54)/C8</f>
        <v>#DIV/0!</v>
      </c>
      <c r="N11" s="532" t="e">
        <f>(Calculations!O27*Calculations!$D54)/C8</f>
        <v>#DIV/0!</v>
      </c>
      <c r="O11" s="532" t="e">
        <f>(Calculations!P27*Calculations!$D54)/C8</f>
        <v>#DIV/0!</v>
      </c>
      <c r="P11" s="532" t="e">
        <f>(Calculations!Q27*Calculations!$D54)/C8</f>
        <v>#DIV/0!</v>
      </c>
      <c r="Q11" s="532" t="e">
        <f>(Calculations!R27*Calculations!$D54)/C8</f>
        <v>#DIV/0!</v>
      </c>
      <c r="R11" s="532" t="e">
        <f>(Calculations!S27*Calculations!$D54)/C8</f>
        <v>#DIV/0!</v>
      </c>
      <c r="S11" s="532" t="e">
        <f>(Calculations!T27*Calculations!$D54)/C8</f>
        <v>#DIV/0!</v>
      </c>
      <c r="T11" s="532" t="e">
        <f>(Calculations!U27*Calculations!$D54)/C8</f>
        <v>#DIV/0!</v>
      </c>
      <c r="U11" s="532" t="e">
        <f>(Calculations!V27*Calculations!$D54)/C8</f>
        <v>#DIV/0!</v>
      </c>
      <c r="V11" s="532" t="e">
        <f>(Calculations!W27*Calculations!$D54)/C8</f>
        <v>#DIV/0!</v>
      </c>
      <c r="W11" s="532" t="e">
        <f>(Calculations!X27*Calculations!$D54)/C8</f>
        <v>#DIV/0!</v>
      </c>
      <c r="X11" s="532" t="e">
        <f>(Calculations!Y27*Calculations!$D54)/C8</f>
        <v>#DIV/0!</v>
      </c>
      <c r="Y11" s="532" t="e">
        <f>(Calculations!Z27*Calculations!$D54)/C8</f>
        <v>#DIV/0!</v>
      </c>
      <c r="Z11" s="532" t="e">
        <f>(Calculations!AA27*Calculations!$D54)/C8</f>
        <v>#DIV/0!</v>
      </c>
      <c r="AA11" s="532" t="e">
        <f>(Calculations!AB27*Calculations!$D54)/C8</f>
        <v>#DIV/0!</v>
      </c>
    </row>
    <row r="12" spans="2:27" ht="15.6" thickTop="1" thickBot="1" x14ac:dyDescent="0.35">
      <c r="B12" s="528" t="s">
        <v>537</v>
      </c>
      <c r="C12" s="532" t="e">
        <f>(Calculations!D27*Calculations!$D55)/C8</f>
        <v>#DIV/0!</v>
      </c>
      <c r="D12" s="532" t="e">
        <f>(Calculations!E27*Calculations!$D55)/C8</f>
        <v>#DIV/0!</v>
      </c>
      <c r="E12" s="532" t="e">
        <f>(Calculations!F27*Calculations!$D55)/C8</f>
        <v>#DIV/0!</v>
      </c>
      <c r="F12" s="532" t="e">
        <f>(Calculations!G27*Calculations!$D55)/C8</f>
        <v>#DIV/0!</v>
      </c>
      <c r="G12" s="532" t="e">
        <f>(Calculations!H27*Calculations!$D55)/C8</f>
        <v>#DIV/0!</v>
      </c>
      <c r="H12" s="532" t="e">
        <f>(Calculations!I27*Calculations!$D55)/C8</f>
        <v>#DIV/0!</v>
      </c>
      <c r="I12" s="532" t="e">
        <f>(Calculations!J27*Calculations!$D55)/C8</f>
        <v>#DIV/0!</v>
      </c>
      <c r="J12" s="532" t="e">
        <f>(Calculations!K27*Calculations!$D55)/C8</f>
        <v>#DIV/0!</v>
      </c>
      <c r="K12" s="532" t="e">
        <f>(Calculations!L27*Calculations!$D55)/C8</f>
        <v>#DIV/0!</v>
      </c>
      <c r="L12" s="532" t="e">
        <f>(Calculations!M27*Calculations!$D55)/C8</f>
        <v>#DIV/0!</v>
      </c>
      <c r="M12" s="532" t="e">
        <f>(Calculations!N27*Calculations!$D55)/C8</f>
        <v>#DIV/0!</v>
      </c>
      <c r="N12" s="532" t="e">
        <f>(Calculations!O27*Calculations!$D55)/C8</f>
        <v>#DIV/0!</v>
      </c>
      <c r="O12" s="532" t="e">
        <f>(Calculations!P27*Calculations!$D55)/C8</f>
        <v>#DIV/0!</v>
      </c>
      <c r="P12" s="532" t="e">
        <f>(Calculations!Q27*Calculations!$D55)/C8</f>
        <v>#DIV/0!</v>
      </c>
      <c r="Q12" s="532" t="e">
        <f>(Calculations!R27*Calculations!$D55)/C8</f>
        <v>#DIV/0!</v>
      </c>
      <c r="R12" s="532" t="e">
        <f>(Calculations!S27*Calculations!$D55)/C8</f>
        <v>#DIV/0!</v>
      </c>
      <c r="S12" s="532" t="e">
        <f>(Calculations!T27*Calculations!$D55)/C8</f>
        <v>#DIV/0!</v>
      </c>
      <c r="T12" s="532" t="e">
        <f>(Calculations!U27*Calculations!$D55)/C8</f>
        <v>#DIV/0!</v>
      </c>
      <c r="U12" s="532" t="e">
        <f>(Calculations!V27*Calculations!$D55)/C8</f>
        <v>#DIV/0!</v>
      </c>
      <c r="V12" s="532" t="e">
        <f>(Calculations!W27*Calculations!$D55)/C8</f>
        <v>#DIV/0!</v>
      </c>
      <c r="W12" s="532" t="e">
        <f>(Calculations!X27*Calculations!$D55)/C8</f>
        <v>#DIV/0!</v>
      </c>
      <c r="X12" s="532" t="e">
        <f>(Calculations!Y27*Calculations!$D55)/C8</f>
        <v>#DIV/0!</v>
      </c>
      <c r="Y12" s="532" t="e">
        <f>(Calculations!Z27*Calculations!$D55)/C8</f>
        <v>#DIV/0!</v>
      </c>
      <c r="Z12" s="532" t="e">
        <f>(Calculations!AA27*Calculations!$D55)/C8</f>
        <v>#DIV/0!</v>
      </c>
      <c r="AA12" s="532" t="e">
        <f>(Calculations!AB27*Calculations!$D55)/C8</f>
        <v>#DIV/0!</v>
      </c>
    </row>
    <row r="13" spans="2:27" ht="15" thickTop="1" x14ac:dyDescent="0.3">
      <c r="B13" s="531" t="s">
        <v>124</v>
      </c>
      <c r="C13" s="533" t="e">
        <f>(Calculations!D28/C8)</f>
        <v>#DIV/0!</v>
      </c>
      <c r="D13" s="533" t="e">
        <f>(Calculations!E28/C8)</f>
        <v>#DIV/0!</v>
      </c>
      <c r="E13" s="533" t="e">
        <f>(Calculations!F28/C8)</f>
        <v>#DIV/0!</v>
      </c>
      <c r="F13" s="533" t="e">
        <f>(Calculations!G28/C8)</f>
        <v>#DIV/0!</v>
      </c>
      <c r="G13" s="533" t="e">
        <f>(Calculations!H28/C8)</f>
        <v>#DIV/0!</v>
      </c>
      <c r="H13" s="533" t="e">
        <f>(Calculations!I28/C8)</f>
        <v>#DIV/0!</v>
      </c>
      <c r="I13" s="533" t="e">
        <f>(Calculations!J28/C8)</f>
        <v>#DIV/0!</v>
      </c>
      <c r="J13" s="533" t="e">
        <f>(Calculations!K28/C8)</f>
        <v>#DIV/0!</v>
      </c>
      <c r="K13" s="533" t="e">
        <f>(Calculations!L28/C8)</f>
        <v>#DIV/0!</v>
      </c>
      <c r="L13" s="533" t="e">
        <f>(Calculations!M28/C8)</f>
        <v>#DIV/0!</v>
      </c>
      <c r="M13" s="533" t="e">
        <f>(Calculations!N28/C8)</f>
        <v>#DIV/0!</v>
      </c>
      <c r="N13" s="533" t="e">
        <f>(Calculations!O28/C8)</f>
        <v>#DIV/0!</v>
      </c>
      <c r="O13" s="533" t="e">
        <f>(Calculations!P28/C8)</f>
        <v>#DIV/0!</v>
      </c>
      <c r="P13" s="533" t="e">
        <f>(Calculations!Q28/C8)</f>
        <v>#DIV/0!</v>
      </c>
      <c r="Q13" s="533" t="e">
        <f>(Calculations!R28/C8)</f>
        <v>#DIV/0!</v>
      </c>
      <c r="R13" s="533" t="e">
        <f>(Calculations!S28/C8)</f>
        <v>#DIV/0!</v>
      </c>
      <c r="S13" s="533" t="e">
        <f>(Calculations!T28/C8)</f>
        <v>#DIV/0!</v>
      </c>
      <c r="T13" s="533" t="e">
        <f>(Calculations!U28/C8)</f>
        <v>#DIV/0!</v>
      </c>
      <c r="U13" s="533" t="e">
        <f>(Calculations!V28/C8)</f>
        <v>#DIV/0!</v>
      </c>
      <c r="V13" s="533" t="e">
        <f>(Calculations!W28/C8)</f>
        <v>#DIV/0!</v>
      </c>
      <c r="W13" s="533" t="e">
        <f>(Calculations!X28/C8)</f>
        <v>#DIV/0!</v>
      </c>
      <c r="X13" s="533" t="e">
        <f>(Calculations!Y28/C8)</f>
        <v>#DIV/0!</v>
      </c>
      <c r="Y13" s="533" t="e">
        <f>(Calculations!Z28/C8)</f>
        <v>#DIV/0!</v>
      </c>
      <c r="Z13" s="533" t="e">
        <f>(Calculations!AA28/C8)</f>
        <v>#DIV/0!</v>
      </c>
      <c r="AA13" s="533" t="e">
        <f>(Calculations!AB28/C8)</f>
        <v>#DIV/0!</v>
      </c>
    </row>
    <row r="14" spans="2:27" x14ac:dyDescent="0.3">
      <c r="B14" s="525" t="s">
        <v>538</v>
      </c>
      <c r="C14" s="533" t="e">
        <f>$C6*(C11+C12)</f>
        <v>#DIV/0!</v>
      </c>
      <c r="D14" s="533" t="e">
        <f t="shared" ref="D14:AA14" si="1">$C6*(D11+D12)</f>
        <v>#DIV/0!</v>
      </c>
      <c r="E14" s="533" t="e">
        <f t="shared" si="1"/>
        <v>#DIV/0!</v>
      </c>
      <c r="F14" s="533" t="e">
        <f t="shared" si="1"/>
        <v>#DIV/0!</v>
      </c>
      <c r="G14" s="533" t="e">
        <f t="shared" si="1"/>
        <v>#DIV/0!</v>
      </c>
      <c r="H14" s="533" t="e">
        <f t="shared" si="1"/>
        <v>#DIV/0!</v>
      </c>
      <c r="I14" s="533" t="e">
        <f t="shared" si="1"/>
        <v>#DIV/0!</v>
      </c>
      <c r="J14" s="533" t="e">
        <f t="shared" si="1"/>
        <v>#DIV/0!</v>
      </c>
      <c r="K14" s="533" t="e">
        <f t="shared" si="1"/>
        <v>#DIV/0!</v>
      </c>
      <c r="L14" s="533" t="e">
        <f t="shared" si="1"/>
        <v>#DIV/0!</v>
      </c>
      <c r="M14" s="533" t="e">
        <f t="shared" si="1"/>
        <v>#DIV/0!</v>
      </c>
      <c r="N14" s="533" t="e">
        <f t="shared" si="1"/>
        <v>#DIV/0!</v>
      </c>
      <c r="O14" s="533" t="e">
        <f t="shared" si="1"/>
        <v>#DIV/0!</v>
      </c>
      <c r="P14" s="533" t="e">
        <f t="shared" si="1"/>
        <v>#DIV/0!</v>
      </c>
      <c r="Q14" s="533" t="e">
        <f t="shared" si="1"/>
        <v>#DIV/0!</v>
      </c>
      <c r="R14" s="533" t="e">
        <f t="shared" si="1"/>
        <v>#DIV/0!</v>
      </c>
      <c r="S14" s="533" t="e">
        <f t="shared" si="1"/>
        <v>#DIV/0!</v>
      </c>
      <c r="T14" s="533" t="e">
        <f t="shared" si="1"/>
        <v>#DIV/0!</v>
      </c>
      <c r="U14" s="533" t="e">
        <f t="shared" si="1"/>
        <v>#DIV/0!</v>
      </c>
      <c r="V14" s="533" t="e">
        <f t="shared" si="1"/>
        <v>#DIV/0!</v>
      </c>
      <c r="W14" s="533" t="e">
        <f t="shared" si="1"/>
        <v>#DIV/0!</v>
      </c>
      <c r="X14" s="533" t="e">
        <f t="shared" si="1"/>
        <v>#DIV/0!</v>
      </c>
      <c r="Y14" s="534" t="e">
        <f t="shared" si="1"/>
        <v>#DIV/0!</v>
      </c>
      <c r="Z14" s="534" t="e">
        <f t="shared" si="1"/>
        <v>#DIV/0!</v>
      </c>
      <c r="AA14" s="534" t="e">
        <f t="shared" si="1"/>
        <v>#DIV/0!</v>
      </c>
    </row>
    <row r="15" spans="2:27" x14ac:dyDescent="0.3">
      <c r="B15" s="525" t="s">
        <v>539</v>
      </c>
      <c r="C15" s="535" t="e">
        <f>Calculations!D22/Inputs!C216</f>
        <v>#DIV/0!</v>
      </c>
      <c r="D15" s="535" t="e">
        <f>Calculations!E22/Inputs!C216</f>
        <v>#DIV/0!</v>
      </c>
      <c r="E15" s="535" t="e">
        <f>Calculations!F22/Inputs!C216</f>
        <v>#DIV/0!</v>
      </c>
      <c r="F15" s="535" t="e">
        <f>Calculations!G22/Inputs!C216</f>
        <v>#DIV/0!</v>
      </c>
      <c r="G15" s="535" t="e">
        <f>Calculations!H22/Inputs!C216</f>
        <v>#DIV/0!</v>
      </c>
      <c r="H15" s="535" t="e">
        <f>Calculations!I22/Inputs!C216</f>
        <v>#DIV/0!</v>
      </c>
      <c r="I15" s="535" t="e">
        <f>Calculations!J22/Inputs!C216</f>
        <v>#DIV/0!</v>
      </c>
      <c r="J15" s="535" t="e">
        <f>Calculations!K22/Inputs!C216</f>
        <v>#DIV/0!</v>
      </c>
      <c r="K15" s="535" t="e">
        <f>Calculations!L22/Inputs!C216</f>
        <v>#DIV/0!</v>
      </c>
      <c r="L15" s="535" t="e">
        <f>Calculations!M22/Inputs!C216</f>
        <v>#DIV/0!</v>
      </c>
      <c r="M15" s="535">
        <f>Calculations!N22</f>
        <v>0</v>
      </c>
      <c r="N15" s="535">
        <f>Calculations!O22</f>
        <v>0</v>
      </c>
      <c r="O15" s="535">
        <f>Calculations!P22</f>
        <v>0</v>
      </c>
      <c r="P15" s="535">
        <f>Calculations!Q22</f>
        <v>0</v>
      </c>
      <c r="Q15" s="535">
        <f>Calculations!R22</f>
        <v>0</v>
      </c>
      <c r="R15" s="535">
        <f>Calculations!S22</f>
        <v>0</v>
      </c>
      <c r="S15" s="535">
        <f>Calculations!T22</f>
        <v>0</v>
      </c>
      <c r="T15" s="535">
        <f>Calculations!U22</f>
        <v>0</v>
      </c>
      <c r="U15" s="535">
        <f>Calculations!V22</f>
        <v>0</v>
      </c>
      <c r="V15" s="535">
        <f>Calculations!W22</f>
        <v>0</v>
      </c>
      <c r="W15" s="535">
        <f>Calculations!X22</f>
        <v>0</v>
      </c>
      <c r="X15" s="535">
        <f>Calculations!Y22</f>
        <v>0</v>
      </c>
      <c r="Y15" s="536">
        <f>Calculations!Z22</f>
        <v>0</v>
      </c>
      <c r="Z15" s="536">
        <f>Calculations!AA22</f>
        <v>0</v>
      </c>
      <c r="AA15" s="536">
        <f>Calculations!AB22</f>
        <v>0</v>
      </c>
    </row>
    <row r="16" spans="2:27" x14ac:dyDescent="0.3">
      <c r="B16" s="537" t="s">
        <v>540</v>
      </c>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row>
    <row r="17" spans="2:27" ht="15" thickBot="1" x14ac:dyDescent="0.35">
      <c r="B17" s="529" t="s">
        <v>541</v>
      </c>
      <c r="C17" s="539" t="e">
        <f>Calculations!D37/Inputs!C216</f>
        <v>#DIV/0!</v>
      </c>
      <c r="D17" s="539" t="e">
        <f>Calculations!E37/Inputs!C216</f>
        <v>#DIV/0!</v>
      </c>
      <c r="E17" s="539" t="e">
        <f>Calculations!F37/Inputs!C216</f>
        <v>#DIV/0!</v>
      </c>
      <c r="F17" s="539" t="e">
        <f>Calculations!G37/Inputs!C216</f>
        <v>#DIV/0!</v>
      </c>
      <c r="G17" s="539" t="e">
        <f>Calculations!H37/Inputs!C216</f>
        <v>#DIV/0!</v>
      </c>
      <c r="H17" s="539" t="e">
        <f>Calculations!I37/Inputs!C216</f>
        <v>#DIV/0!</v>
      </c>
      <c r="I17" s="539" t="e">
        <f>Calculations!J37/Inputs!C216</f>
        <v>#DIV/0!</v>
      </c>
      <c r="J17" s="539" t="e">
        <f>Calculations!K37/Inputs!C216</f>
        <v>#DIV/0!</v>
      </c>
      <c r="K17" s="539" t="e">
        <f>Calculations!L37/Inputs!C216</f>
        <v>#DIV/0!</v>
      </c>
      <c r="L17" s="539" t="e">
        <f>Calculations!M37/C8</f>
        <v>#DIV/0!</v>
      </c>
      <c r="M17" s="539" t="e">
        <f>Calculations!N37/C8</f>
        <v>#DIV/0!</v>
      </c>
      <c r="N17" s="539" t="e">
        <f>Calculations!O37/C8</f>
        <v>#DIV/0!</v>
      </c>
      <c r="O17" s="539" t="e">
        <f>Calculations!P37/C8</f>
        <v>#DIV/0!</v>
      </c>
      <c r="P17" s="539" t="e">
        <f>Calculations!Q37/C8</f>
        <v>#DIV/0!</v>
      </c>
      <c r="Q17" s="539" t="e">
        <f>Calculations!R37/C8</f>
        <v>#DIV/0!</v>
      </c>
      <c r="R17" s="539" t="e">
        <f>Calculations!S37/C8</f>
        <v>#DIV/0!</v>
      </c>
      <c r="S17" s="539" t="e">
        <f>Calculations!T37/C8</f>
        <v>#DIV/0!</v>
      </c>
      <c r="T17" s="539" t="e">
        <f>Calculations!U37/C8</f>
        <v>#DIV/0!</v>
      </c>
      <c r="U17" s="539" t="e">
        <f>Calculations!V37/C8</f>
        <v>#DIV/0!</v>
      </c>
      <c r="V17" s="539" t="e">
        <f>Calculations!W37/C8</f>
        <v>#DIV/0!</v>
      </c>
      <c r="W17" s="539" t="e">
        <f>Calculations!X37/C8</f>
        <v>#DIV/0!</v>
      </c>
      <c r="X17" s="539" t="e">
        <f>Calculations!Y37/C8</f>
        <v>#DIV/0!</v>
      </c>
      <c r="Y17" s="539" t="e">
        <f>Calculations!Z37/C8</f>
        <v>#DIV/0!</v>
      </c>
      <c r="Z17" s="539" t="e">
        <f>Calculations!AA37/C8</f>
        <v>#DIV/0!</v>
      </c>
      <c r="AA17" s="539" t="e">
        <f>Calculations!AB37/C8</f>
        <v>#DIV/0!</v>
      </c>
    </row>
    <row r="18" spans="2:27" ht="15.6" thickTop="1" thickBot="1" x14ac:dyDescent="0.35">
      <c r="B18" s="531" t="s">
        <v>542</v>
      </c>
      <c r="C18" s="540">
        <f>Calculations!D12</f>
        <v>0</v>
      </c>
      <c r="D18" s="540">
        <f>Calculations!E12</f>
        <v>0</v>
      </c>
      <c r="E18" s="540">
        <f>Calculations!F12</f>
        <v>0</v>
      </c>
      <c r="F18" s="540">
        <f>Calculations!G12</f>
        <v>0</v>
      </c>
      <c r="G18" s="540">
        <f>Calculations!H12</f>
        <v>0</v>
      </c>
      <c r="H18" s="540">
        <f>Calculations!I12</f>
        <v>0</v>
      </c>
      <c r="I18" s="540">
        <f>Calculations!J12</f>
        <v>0</v>
      </c>
      <c r="J18" s="540">
        <f>Calculations!K12</f>
        <v>0</v>
      </c>
      <c r="K18" s="540">
        <f>Calculations!L12</f>
        <v>0</v>
      </c>
      <c r="L18" s="540">
        <f>Calculations!M12</f>
        <v>0</v>
      </c>
      <c r="M18" s="540">
        <f>Calculations!N12</f>
        <v>0</v>
      </c>
      <c r="N18" s="540">
        <f>Calculations!O12</f>
        <v>0</v>
      </c>
      <c r="O18" s="540">
        <f>Calculations!P12</f>
        <v>0</v>
      </c>
      <c r="P18" s="540">
        <f>Calculations!Q12</f>
        <v>0</v>
      </c>
      <c r="Q18" s="540">
        <f>Calculations!R12</f>
        <v>0</v>
      </c>
      <c r="R18" s="540">
        <f>Calculations!S12</f>
        <v>0</v>
      </c>
      <c r="S18" s="540">
        <f>Calculations!T12</f>
        <v>0</v>
      </c>
      <c r="T18" s="540">
        <f>Calculations!U12</f>
        <v>0</v>
      </c>
      <c r="U18" s="540">
        <f>Calculations!V12</f>
        <v>0</v>
      </c>
      <c r="V18" s="540">
        <f>Calculations!W12</f>
        <v>0</v>
      </c>
      <c r="W18" s="540">
        <f>Calculations!X12</f>
        <v>0</v>
      </c>
      <c r="X18" s="540">
        <f>Calculations!Y12</f>
        <v>0</v>
      </c>
      <c r="Y18" s="540">
        <f>Calculations!Z12</f>
        <v>0</v>
      </c>
      <c r="Z18" s="540">
        <f>Calculations!AA12</f>
        <v>0</v>
      </c>
      <c r="AA18" s="540">
        <f>Calculations!AB12</f>
        <v>0</v>
      </c>
    </row>
    <row r="19" spans="2:27" ht="15.6" thickTop="1" thickBot="1" x14ac:dyDescent="0.35">
      <c r="B19" s="525" t="s">
        <v>543</v>
      </c>
      <c r="C19" s="541" t="e">
        <f>IF((C17/C18=Calculations!D40/'Grid arrival'!C8),(C17/C18),"")</f>
        <v>#DIV/0!</v>
      </c>
      <c r="D19" s="541" t="e">
        <f>IF((D17/D18=Calculations!E40/'Grid arrival'!C8),(D17/D18),"")</f>
        <v>#DIV/0!</v>
      </c>
      <c r="E19" s="541" t="e">
        <f>IF((E17/E18=Calculations!F40/'Grid arrival'!C8),(E17/E18),"")</f>
        <v>#DIV/0!</v>
      </c>
      <c r="F19" s="541" t="e">
        <f>IF((F17/F18=Calculations!G40/'Grid arrival'!C8),(F17/F18),"")</f>
        <v>#DIV/0!</v>
      </c>
      <c r="G19" s="541" t="e">
        <f>IF((G17/G18=Calculations!H40/'Grid arrival'!C8),(G17/G18),"")</f>
        <v>#DIV/0!</v>
      </c>
      <c r="H19" s="541" t="e">
        <f>IF((H17/H18=Calculations!I40/'Grid arrival'!C8),(H17/H18),"")</f>
        <v>#DIV/0!</v>
      </c>
      <c r="I19" s="541" t="e">
        <f>IF((I17/I18=Calculations!J40/'Grid arrival'!C8),(I17/I18),"")</f>
        <v>#DIV/0!</v>
      </c>
      <c r="J19" s="541" t="e">
        <f>IF((J17/J18=Calculations!K40/'Grid arrival'!C8),(J17/J18),"")</f>
        <v>#DIV/0!</v>
      </c>
      <c r="K19" s="541" t="e">
        <f>IF((K17/K18=Calculations!L40/'Grid arrival'!C8),(K17/K18),"")</f>
        <v>#DIV/0!</v>
      </c>
      <c r="L19" s="541" t="e">
        <f>IF((L17/L18=Calculations!M40/'Grid arrival'!C8),(L17/L18),"")</f>
        <v>#DIV/0!</v>
      </c>
      <c r="M19" s="541" t="e">
        <f>IF((M17/M18=Calculations!N40/'Grid arrival'!C8),(M17/M18),"")</f>
        <v>#DIV/0!</v>
      </c>
      <c r="N19" s="541" t="e">
        <f>IF((N17/N18=Calculations!O40/'Grid arrival'!C8),(N17/N18),"")</f>
        <v>#DIV/0!</v>
      </c>
      <c r="O19" s="541" t="e">
        <f>IF((O17/O18=Calculations!P40/'Grid arrival'!C8),(O17/O18),"")</f>
        <v>#DIV/0!</v>
      </c>
      <c r="P19" s="541" t="e">
        <f>IF((P17/P18=Calculations!Q40/'Grid arrival'!C8),(P17/P18),"")</f>
        <v>#DIV/0!</v>
      </c>
      <c r="Q19" s="541" t="e">
        <f>IF((Q17/Q18=Calculations!R40/'Grid arrival'!C8),(Q17/Q18),"")</f>
        <v>#DIV/0!</v>
      </c>
      <c r="R19" s="541" t="e">
        <f>IF((R17/R18=Calculations!S40/'Grid arrival'!C8),(R17/R18),"")</f>
        <v>#DIV/0!</v>
      </c>
      <c r="S19" s="541" t="e">
        <f>IF((S17/S18=Calculations!T40/'Grid arrival'!C8),(S17/S18),"")</f>
        <v>#DIV/0!</v>
      </c>
      <c r="T19" s="541" t="e">
        <f>IF((T17/T18=Calculations!U40/'Grid arrival'!C8),(T17/T18),"")</f>
        <v>#DIV/0!</v>
      </c>
      <c r="U19" s="541" t="e">
        <f>U17/U18</f>
        <v>#DIV/0!</v>
      </c>
      <c r="V19" s="541" t="e">
        <f>IF((V17/V18=Calculations!W40/'Grid arrival'!C8),(V17/V18),"")</f>
        <v>#DIV/0!</v>
      </c>
      <c r="W19" s="541" t="e">
        <f>IF((W17/W18=Calculations!X40/'Grid arrival'!C8),(W17/W18),"")</f>
        <v>#DIV/0!</v>
      </c>
      <c r="X19" s="541" t="e">
        <f>IF((X17/X18=Calculations!Y40/'Grid arrival'!C8),(X17/X18),"")</f>
        <v>#DIV/0!</v>
      </c>
      <c r="Y19" s="541" t="e">
        <f>IF((Y17/Y18=Calculations!Z40/'Grid arrival'!C8),(Y17/Y18),"")</f>
        <v>#DIV/0!</v>
      </c>
      <c r="Z19" s="541" t="e">
        <f>IF((Z17/Z18=Calculations!AA40/'Grid arrival'!C8),(Z17/Z18),"")</f>
        <v>#DIV/0!</v>
      </c>
      <c r="AA19" s="541" t="e">
        <f>IF((AA17/AA18=Calculations!AB40/'Grid arrival'!C8),(AA17/AA18),"")</f>
        <v>#DIV/0!</v>
      </c>
    </row>
    <row r="20" spans="2:27" ht="15" thickTop="1" x14ac:dyDescent="0.3">
      <c r="B20" s="542"/>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row>
    <row r="21" spans="2:27" x14ac:dyDescent="0.3">
      <c r="B21" s="544"/>
      <c r="C21" s="524"/>
      <c r="D21" s="524"/>
      <c r="E21" s="524"/>
      <c r="F21" s="524"/>
      <c r="G21" s="524"/>
      <c r="H21" s="524"/>
      <c r="I21" s="524"/>
      <c r="J21" s="524"/>
      <c r="K21" s="524"/>
      <c r="L21" s="524"/>
      <c r="M21" s="524"/>
      <c r="N21" s="524"/>
      <c r="O21" s="524"/>
      <c r="P21" s="524"/>
      <c r="Q21" s="524"/>
      <c r="R21" s="524"/>
      <c r="S21" s="524"/>
      <c r="T21" s="524"/>
      <c r="U21" s="524"/>
      <c r="V21" s="524"/>
      <c r="W21" s="524"/>
      <c r="X21" s="524"/>
    </row>
    <row r="22" spans="2:27" x14ac:dyDescent="0.3">
      <c r="B22" s="545" t="s">
        <v>544</v>
      </c>
      <c r="C22" s="546"/>
      <c r="D22" s="546"/>
      <c r="E22" s="546"/>
      <c r="F22" s="546"/>
      <c r="G22" s="546"/>
      <c r="H22" s="546"/>
      <c r="I22" s="546"/>
      <c r="J22" s="546"/>
      <c r="K22" s="546"/>
      <c r="L22" s="546"/>
      <c r="M22" s="546"/>
      <c r="N22" s="546"/>
      <c r="O22" s="546"/>
      <c r="P22" s="546"/>
      <c r="Q22" s="546"/>
      <c r="R22" s="546"/>
      <c r="S22" s="546"/>
      <c r="T22" s="546"/>
      <c r="U22" s="546"/>
      <c r="V22" s="546"/>
      <c r="W22" s="546"/>
      <c r="X22" s="546"/>
      <c r="Y22" s="547"/>
      <c r="Z22" s="547"/>
      <c r="AA22" s="547"/>
    </row>
    <row r="23" spans="2:27" x14ac:dyDescent="0.3">
      <c r="B23" s="522" t="s">
        <v>545</v>
      </c>
      <c r="C23" s="524"/>
      <c r="D23" s="524"/>
      <c r="E23" s="524"/>
      <c r="F23" s="524"/>
      <c r="G23" s="524"/>
      <c r="H23" s="524"/>
      <c r="I23" s="524"/>
      <c r="J23" s="524"/>
      <c r="K23" s="524"/>
      <c r="L23" s="524"/>
      <c r="M23" s="524"/>
      <c r="N23" s="524"/>
      <c r="O23" s="524"/>
      <c r="P23" s="524"/>
      <c r="Q23" s="524"/>
      <c r="R23" s="524"/>
      <c r="S23" s="524"/>
      <c r="T23" s="524"/>
      <c r="U23" s="524"/>
      <c r="V23" s="524"/>
      <c r="W23" s="524"/>
      <c r="X23" s="524"/>
    </row>
    <row r="24" spans="2:27" x14ac:dyDescent="0.3">
      <c r="B24" s="524"/>
      <c r="C24" s="524"/>
      <c r="D24" s="524"/>
      <c r="E24" s="524"/>
      <c r="F24" s="524"/>
      <c r="G24" s="524"/>
      <c r="H24" s="524"/>
      <c r="I24" s="524"/>
      <c r="J24" s="524"/>
      <c r="K24" s="524"/>
      <c r="L24" s="524"/>
      <c r="M24" s="524"/>
      <c r="N24" s="524"/>
      <c r="O24" s="524"/>
      <c r="P24" s="524"/>
      <c r="Q24" s="524"/>
      <c r="R24" s="524"/>
      <c r="S24" s="524"/>
      <c r="T24" s="524"/>
      <c r="U24" s="524"/>
      <c r="V24" s="524"/>
      <c r="W24" s="524"/>
      <c r="X24" s="524"/>
    </row>
    <row r="25" spans="2:27" x14ac:dyDescent="0.3">
      <c r="B25" s="525" t="s">
        <v>546</v>
      </c>
      <c r="C25" s="548">
        <v>8</v>
      </c>
      <c r="D25" s="524"/>
      <c r="E25" s="524"/>
      <c r="F25" s="524"/>
      <c r="G25" s="524"/>
      <c r="H25" s="524"/>
      <c r="I25" s="524"/>
      <c r="J25" s="524"/>
      <c r="K25" s="524"/>
      <c r="L25" s="524"/>
      <c r="M25" s="524"/>
      <c r="N25" s="524"/>
      <c r="O25" s="524"/>
      <c r="P25" s="524"/>
      <c r="Q25" s="524"/>
      <c r="R25" s="524"/>
      <c r="S25" s="524"/>
      <c r="T25" s="524"/>
      <c r="U25" s="524"/>
      <c r="V25" s="524"/>
      <c r="W25" s="524"/>
      <c r="X25" s="524"/>
    </row>
    <row r="26" spans="2:27" x14ac:dyDescent="0.3">
      <c r="B26" s="525" t="s">
        <v>547</v>
      </c>
      <c r="C26" s="549" t="e">
        <f>D26/Inputs!C216</f>
        <v>#DIV/0!</v>
      </c>
      <c r="D26" s="550">
        <v>200</v>
      </c>
      <c r="E26" s="524"/>
      <c r="F26" s="524"/>
      <c r="G26" s="524"/>
      <c r="H26" s="524"/>
      <c r="I26" s="524"/>
      <c r="J26" s="524"/>
      <c r="K26" s="524"/>
      <c r="L26" s="524"/>
      <c r="M26" s="524"/>
      <c r="N26" s="524"/>
      <c r="O26" s="524"/>
      <c r="P26" s="524"/>
      <c r="Q26" s="524"/>
      <c r="R26" s="524"/>
      <c r="S26" s="524"/>
      <c r="T26" s="524"/>
      <c r="U26" s="524"/>
      <c r="V26" s="524"/>
      <c r="W26" s="524"/>
      <c r="X26" s="524"/>
    </row>
    <row r="27" spans="2:27" x14ac:dyDescent="0.3">
      <c r="B27" s="525" t="s">
        <v>548</v>
      </c>
      <c r="C27" s="550"/>
      <c r="D27" s="524"/>
      <c r="E27" s="524"/>
      <c r="F27" s="524"/>
      <c r="G27" s="524"/>
      <c r="H27" s="524"/>
      <c r="I27" s="524"/>
      <c r="J27" s="524"/>
      <c r="K27" s="524"/>
      <c r="L27" s="524"/>
      <c r="M27" s="524"/>
      <c r="N27" s="524"/>
      <c r="O27" s="524"/>
      <c r="P27" s="524"/>
      <c r="Q27" s="524"/>
      <c r="R27" s="524"/>
      <c r="S27" s="524"/>
      <c r="T27" s="524"/>
      <c r="U27" s="524"/>
      <c r="V27" s="524"/>
      <c r="W27" s="524"/>
      <c r="X27" s="524"/>
    </row>
    <row r="28" spans="2:27" x14ac:dyDescent="0.3">
      <c r="B28" s="524"/>
      <c r="C28" s="524"/>
      <c r="D28" s="524"/>
      <c r="E28" s="524"/>
      <c r="F28" s="524"/>
      <c r="G28" s="524"/>
      <c r="H28" s="524"/>
      <c r="I28" s="524"/>
      <c r="J28" s="524"/>
      <c r="K28" s="524"/>
      <c r="L28" s="524"/>
      <c r="M28" s="524"/>
      <c r="N28" s="524"/>
      <c r="O28" s="524"/>
      <c r="P28" s="524"/>
      <c r="Q28" s="524"/>
      <c r="R28" s="524"/>
      <c r="S28" s="524"/>
      <c r="T28" s="524"/>
      <c r="U28" s="524"/>
      <c r="V28" s="524"/>
      <c r="W28" s="524"/>
      <c r="X28" s="524"/>
    </row>
    <row r="29" spans="2:27" x14ac:dyDescent="0.3">
      <c r="B29" s="551" t="s">
        <v>549</v>
      </c>
      <c r="C29" s="552"/>
      <c r="D29" s="552"/>
      <c r="E29" s="552"/>
      <c r="F29" s="552"/>
      <c r="G29" s="552"/>
      <c r="H29" s="552"/>
      <c r="I29" s="552"/>
      <c r="J29" s="552"/>
      <c r="K29" s="552"/>
      <c r="L29" s="552"/>
      <c r="M29" s="552"/>
      <c r="N29" s="552"/>
      <c r="O29" s="552"/>
      <c r="P29" s="552"/>
      <c r="Q29" s="552"/>
      <c r="R29" s="552"/>
      <c r="S29" s="552"/>
      <c r="T29" s="552"/>
      <c r="U29" s="552"/>
      <c r="V29" s="552"/>
      <c r="W29" s="552"/>
      <c r="X29" s="552"/>
      <c r="Y29" s="553"/>
      <c r="Z29" s="553"/>
      <c r="AA29" s="553"/>
    </row>
    <row r="30" spans="2:27" x14ac:dyDescent="0.3">
      <c r="B30" s="554"/>
      <c r="C30" s="524"/>
      <c r="D30" s="524"/>
      <c r="E30" s="524"/>
      <c r="F30" s="524"/>
      <c r="G30" s="524"/>
      <c r="H30" s="524"/>
      <c r="I30" s="524"/>
      <c r="J30" s="524"/>
      <c r="K30" s="524"/>
      <c r="L30" s="524"/>
      <c r="M30" s="524"/>
      <c r="N30" s="524"/>
      <c r="O30" s="524"/>
      <c r="P30" s="524"/>
      <c r="Q30" s="524"/>
      <c r="R30" s="524"/>
      <c r="S30" s="524"/>
      <c r="T30" s="524"/>
      <c r="U30" s="524"/>
      <c r="V30" s="524"/>
      <c r="W30" s="524"/>
      <c r="X30" s="524"/>
    </row>
    <row r="31" spans="2:27" x14ac:dyDescent="0.3">
      <c r="B31" s="554" t="s">
        <v>550</v>
      </c>
      <c r="C31" s="524"/>
      <c r="D31" s="524"/>
      <c r="E31" s="524"/>
      <c r="F31" s="524"/>
      <c r="G31" s="524"/>
      <c r="H31" s="524"/>
      <c r="I31" s="524"/>
      <c r="J31" s="524"/>
      <c r="K31" s="524"/>
      <c r="L31" s="524"/>
      <c r="M31" s="524"/>
      <c r="N31" s="524"/>
      <c r="O31" s="524"/>
      <c r="P31" s="524"/>
      <c r="Q31" s="524"/>
      <c r="R31" s="524"/>
      <c r="S31" s="524"/>
      <c r="T31" s="524"/>
      <c r="U31" s="524"/>
      <c r="V31" s="524"/>
      <c r="W31" s="524"/>
      <c r="X31" s="524"/>
    </row>
    <row r="32" spans="2:27" x14ac:dyDescent="0.3">
      <c r="B32" s="524"/>
      <c r="C32" s="615" t="s">
        <v>551</v>
      </c>
      <c r="D32" s="615"/>
      <c r="E32" s="615"/>
      <c r="F32" s="615"/>
      <c r="G32" s="615"/>
      <c r="H32" s="615"/>
      <c r="I32" s="615"/>
      <c r="J32" s="615"/>
      <c r="K32" s="524"/>
      <c r="L32" s="524"/>
      <c r="M32" s="524"/>
      <c r="N32" s="524"/>
      <c r="O32" s="524"/>
      <c r="P32" s="524"/>
      <c r="Q32" s="524"/>
      <c r="R32" s="524"/>
      <c r="S32" s="524"/>
      <c r="T32" s="524"/>
      <c r="U32" s="524"/>
      <c r="V32" s="524"/>
      <c r="W32" s="524"/>
      <c r="X32" s="524"/>
    </row>
    <row r="33" spans="2:24" x14ac:dyDescent="0.3">
      <c r="B33" s="554"/>
      <c r="C33" s="616" t="s">
        <v>552</v>
      </c>
      <c r="D33" s="617"/>
      <c r="E33" s="616" t="s">
        <v>553</v>
      </c>
      <c r="F33" s="617"/>
      <c r="G33" s="616" t="s">
        <v>554</v>
      </c>
      <c r="H33" s="617"/>
      <c r="I33" s="616" t="s">
        <v>555</v>
      </c>
      <c r="J33" s="617"/>
      <c r="K33" s="524"/>
      <c r="L33" s="524"/>
      <c r="M33" s="524"/>
      <c r="N33" s="524"/>
      <c r="O33" s="524"/>
      <c r="P33" s="524"/>
      <c r="Q33" s="524"/>
      <c r="R33" s="524"/>
      <c r="S33" s="524"/>
      <c r="T33" s="524"/>
      <c r="U33" s="524"/>
      <c r="V33" s="524"/>
      <c r="W33" s="524"/>
      <c r="X33" s="524"/>
    </row>
    <row r="34" spans="2:24" ht="37.5" customHeight="1" x14ac:dyDescent="0.3">
      <c r="B34" s="555" t="s">
        <v>556</v>
      </c>
      <c r="C34" s="619" t="s">
        <v>557</v>
      </c>
      <c r="D34" s="620"/>
      <c r="E34" s="619" t="s">
        <v>558</v>
      </c>
      <c r="F34" s="620"/>
      <c r="G34" s="619" t="s">
        <v>559</v>
      </c>
      <c r="H34" s="620"/>
      <c r="I34" s="619" t="s">
        <v>560</v>
      </c>
      <c r="J34" s="620"/>
      <c r="K34" s="524"/>
      <c r="L34" s="524"/>
      <c r="M34" s="524"/>
      <c r="N34" s="524"/>
      <c r="O34" s="524"/>
      <c r="P34" s="524"/>
      <c r="Q34" s="524"/>
      <c r="R34" s="524"/>
      <c r="S34" s="524"/>
      <c r="T34" s="524"/>
      <c r="U34" s="524"/>
      <c r="V34" s="524"/>
      <c r="W34" s="524"/>
      <c r="X34" s="524"/>
    </row>
    <row r="35" spans="2:24" x14ac:dyDescent="0.3">
      <c r="B35" s="525" t="s">
        <v>561</v>
      </c>
      <c r="C35" s="618" t="e">
        <f>LOOKUP(C25,C10:AA10,C12:AA12)</f>
        <v>#DIV/0!</v>
      </c>
      <c r="D35" s="618"/>
      <c r="E35" s="618" t="e">
        <f>LOOKUP(C25,C10:AA10,C11:AA11)</f>
        <v>#DIV/0!</v>
      </c>
      <c r="F35" s="618"/>
      <c r="G35" s="618">
        <v>0</v>
      </c>
      <c r="H35" s="621"/>
      <c r="I35" s="618" t="e">
        <f>C35+E35</f>
        <v>#DIV/0!</v>
      </c>
      <c r="J35" s="621"/>
      <c r="K35" s="524"/>
      <c r="L35" s="524"/>
      <c r="M35" s="524"/>
      <c r="N35" s="524"/>
      <c r="O35" s="524"/>
      <c r="P35" s="524"/>
      <c r="Q35" s="524"/>
      <c r="R35" s="524"/>
      <c r="S35" s="524"/>
      <c r="T35" s="524"/>
      <c r="U35" s="524"/>
      <c r="V35" s="524"/>
      <c r="W35" s="524"/>
      <c r="X35" s="524"/>
    </row>
    <row r="36" spans="2:24" x14ac:dyDescent="0.3">
      <c r="B36" s="525" t="s">
        <v>562</v>
      </c>
      <c r="C36" s="618" t="e">
        <f>LOOKUP(C25,C10:AA10,C17:AA17)</f>
        <v>#DIV/0!</v>
      </c>
      <c r="D36" s="618"/>
      <c r="E36" s="618" t="e">
        <f>LOOKUP(C25,C10:AA10,C17:AA17)</f>
        <v>#DIV/0!</v>
      </c>
      <c r="F36" s="618"/>
      <c r="G36" s="618" t="e">
        <f>LOOKUP(C25,C10:AA10,C17:AA17)</f>
        <v>#DIV/0!</v>
      </c>
      <c r="H36" s="618"/>
      <c r="I36" s="618" t="e">
        <f>LOOKUP(C25,C10:AA10,C17:AA17)</f>
        <v>#DIV/0!</v>
      </c>
      <c r="J36" s="618"/>
      <c r="K36" s="524"/>
      <c r="L36" s="524"/>
      <c r="M36" s="524"/>
      <c r="N36" s="524"/>
      <c r="O36" s="524"/>
      <c r="P36" s="524"/>
      <c r="Q36" s="524"/>
      <c r="R36" s="524"/>
      <c r="S36" s="524"/>
      <c r="T36" s="524"/>
      <c r="U36" s="524"/>
      <c r="V36" s="524"/>
      <c r="W36" s="524"/>
      <c r="X36" s="524"/>
    </row>
    <row r="37" spans="2:24" x14ac:dyDescent="0.3">
      <c r="B37" s="556" t="s">
        <v>563</v>
      </c>
      <c r="C37" s="618" t="e">
        <f>SUM(C35:C36)</f>
        <v>#DIV/0!</v>
      </c>
      <c r="D37" s="618"/>
      <c r="E37" s="618" t="e">
        <f t="shared" ref="E37" si="2">SUM(E35:E36)</f>
        <v>#DIV/0!</v>
      </c>
      <c r="F37" s="618"/>
      <c r="G37" s="618" t="e">
        <f t="shared" ref="G37" si="3">SUM(G35:G36)</f>
        <v>#DIV/0!</v>
      </c>
      <c r="H37" s="618"/>
      <c r="I37" s="618" t="e">
        <f t="shared" ref="I37" si="4">SUM(I35:I36)</f>
        <v>#DIV/0!</v>
      </c>
      <c r="J37" s="618"/>
      <c r="K37" s="524"/>
      <c r="L37" s="524"/>
      <c r="M37" s="524"/>
      <c r="N37" s="524"/>
      <c r="O37" s="524"/>
      <c r="P37" s="524"/>
      <c r="Q37" s="524"/>
      <c r="R37" s="524"/>
      <c r="S37" s="524"/>
      <c r="T37" s="524"/>
      <c r="U37" s="524"/>
      <c r="V37" s="524"/>
      <c r="W37" s="524"/>
      <c r="X37" s="524"/>
    </row>
    <row r="38" spans="2:24" x14ac:dyDescent="0.3">
      <c r="B38" s="557" t="s">
        <v>564</v>
      </c>
      <c r="C38" s="524"/>
      <c r="D38" s="524"/>
      <c r="E38" s="524"/>
      <c r="F38" s="524"/>
      <c r="G38" s="524"/>
      <c r="H38" s="524"/>
      <c r="I38" s="524"/>
      <c r="J38" s="524"/>
      <c r="K38" s="524"/>
      <c r="L38" s="524"/>
      <c r="M38" s="524"/>
      <c r="N38" s="524"/>
      <c r="O38" s="524"/>
      <c r="P38" s="524"/>
      <c r="Q38" s="524"/>
      <c r="R38" s="524"/>
      <c r="S38" s="524"/>
      <c r="T38" s="524"/>
      <c r="U38" s="524"/>
      <c r="V38" s="524"/>
      <c r="W38" s="524"/>
      <c r="X38" s="524"/>
    </row>
    <row r="39" spans="2:24" x14ac:dyDescent="0.3">
      <c r="B39" s="524"/>
      <c r="C39" s="524"/>
      <c r="D39" s="524"/>
      <c r="E39" s="524"/>
      <c r="F39" s="524"/>
      <c r="G39" s="524"/>
      <c r="H39" s="524"/>
      <c r="I39" s="524"/>
      <c r="J39" s="524"/>
      <c r="K39" s="524"/>
      <c r="L39" s="524"/>
      <c r="M39" s="524"/>
      <c r="N39" s="524"/>
      <c r="O39" s="524"/>
      <c r="P39" s="524"/>
      <c r="Q39" s="524"/>
      <c r="R39" s="524"/>
      <c r="S39" s="524"/>
      <c r="T39" s="524"/>
      <c r="U39" s="524"/>
      <c r="V39" s="524"/>
      <c r="W39" s="524"/>
      <c r="X39" s="524"/>
    </row>
    <row r="40" spans="2:24" x14ac:dyDescent="0.3">
      <c r="B40" s="524"/>
      <c r="C40" s="524"/>
      <c r="D40" s="524"/>
      <c r="E40" s="524"/>
      <c r="F40" s="524"/>
      <c r="G40" s="524"/>
      <c r="H40" s="524"/>
      <c r="I40" s="524"/>
      <c r="J40" s="524"/>
      <c r="K40" s="524"/>
      <c r="L40" s="524"/>
      <c r="M40" s="524"/>
      <c r="N40" s="524"/>
      <c r="O40" s="524"/>
      <c r="P40" s="524"/>
      <c r="Q40" s="524"/>
      <c r="R40" s="524"/>
      <c r="S40" s="524"/>
      <c r="T40" s="524"/>
      <c r="U40" s="524"/>
      <c r="V40" s="524"/>
      <c r="W40" s="524"/>
      <c r="X40" s="524"/>
    </row>
    <row r="41" spans="2:24" x14ac:dyDescent="0.3">
      <c r="B41" s="524"/>
      <c r="C41" s="524"/>
      <c r="D41" s="524"/>
      <c r="E41" s="524"/>
      <c r="F41" s="524"/>
      <c r="G41" s="524"/>
      <c r="H41" s="524"/>
      <c r="I41" s="524"/>
      <c r="J41" s="524"/>
      <c r="K41" s="524"/>
      <c r="L41" s="524"/>
      <c r="M41" s="524"/>
      <c r="N41" s="524"/>
      <c r="O41" s="524"/>
      <c r="P41" s="524"/>
      <c r="Q41" s="524"/>
      <c r="R41" s="524"/>
      <c r="S41" s="524"/>
      <c r="T41" s="524"/>
      <c r="U41" s="524"/>
      <c r="V41" s="524"/>
      <c r="W41" s="524"/>
      <c r="X41" s="524"/>
    </row>
    <row r="42" spans="2:24" x14ac:dyDescent="0.3">
      <c r="B42" s="524"/>
      <c r="C42" s="524"/>
      <c r="D42" s="524"/>
      <c r="E42" s="524"/>
      <c r="F42" s="524"/>
      <c r="G42" s="524"/>
      <c r="H42" s="524"/>
      <c r="I42" s="524"/>
      <c r="J42" s="524"/>
      <c r="K42" s="524"/>
      <c r="L42" s="524"/>
      <c r="M42" s="524"/>
      <c r="N42" s="524"/>
      <c r="O42" s="524"/>
      <c r="P42" s="524"/>
      <c r="Q42" s="524"/>
      <c r="R42" s="524"/>
      <c r="S42" s="524"/>
      <c r="T42" s="524"/>
      <c r="U42" s="524"/>
      <c r="V42" s="524"/>
      <c r="W42" s="524"/>
      <c r="X42" s="524"/>
    </row>
    <row r="43" spans="2:24" x14ac:dyDescent="0.3">
      <c r="B43" s="524"/>
      <c r="C43" s="524"/>
      <c r="D43" s="524"/>
      <c r="E43" s="524"/>
      <c r="F43" s="524"/>
      <c r="G43" s="524"/>
      <c r="H43" s="524"/>
      <c r="I43" s="524"/>
      <c r="J43" s="524"/>
      <c r="K43" s="524"/>
      <c r="L43" s="524"/>
      <c r="M43" s="524"/>
      <c r="N43" s="524"/>
      <c r="O43" s="524"/>
      <c r="P43" s="524"/>
      <c r="Q43" s="524"/>
      <c r="R43" s="524"/>
      <c r="S43" s="524"/>
      <c r="T43" s="524"/>
      <c r="U43" s="524"/>
      <c r="V43" s="524"/>
      <c r="W43" s="524"/>
      <c r="X43" s="524"/>
    </row>
    <row r="44" spans="2:24" x14ac:dyDescent="0.3">
      <c r="B44" s="524"/>
      <c r="C44" s="524"/>
      <c r="D44" s="524"/>
      <c r="E44" s="524"/>
      <c r="F44" s="524"/>
      <c r="G44" s="524"/>
      <c r="H44" s="524"/>
      <c r="I44" s="524"/>
      <c r="J44" s="524"/>
      <c r="K44" s="524"/>
      <c r="L44" s="524"/>
      <c r="M44" s="524"/>
      <c r="N44" s="524"/>
      <c r="O44" s="524"/>
      <c r="P44" s="524"/>
      <c r="Q44" s="524"/>
      <c r="R44" s="524"/>
      <c r="S44" s="524"/>
      <c r="T44" s="524"/>
      <c r="U44" s="524"/>
      <c r="V44" s="524"/>
      <c r="W44" s="524"/>
      <c r="X44" s="524"/>
    </row>
    <row r="45" spans="2:24" x14ac:dyDescent="0.3">
      <c r="B45" s="524"/>
      <c r="C45" s="524"/>
      <c r="D45" s="524"/>
      <c r="E45" s="524"/>
      <c r="F45" s="524"/>
      <c r="G45" s="524"/>
      <c r="H45" s="524"/>
      <c r="I45" s="524"/>
      <c r="J45" s="524"/>
      <c r="K45" s="524"/>
      <c r="L45" s="524"/>
      <c r="M45" s="524"/>
      <c r="N45" s="524"/>
      <c r="O45" s="524"/>
      <c r="P45" s="524"/>
      <c r="Q45" s="524"/>
      <c r="R45" s="524"/>
      <c r="S45" s="524"/>
      <c r="T45" s="524"/>
      <c r="U45" s="524"/>
      <c r="V45" s="524"/>
      <c r="W45" s="524"/>
      <c r="X45" s="524"/>
    </row>
    <row r="46" spans="2:24" x14ac:dyDescent="0.3">
      <c r="B46" s="524"/>
      <c r="C46" s="524"/>
      <c r="D46" s="524"/>
      <c r="E46" s="524"/>
      <c r="F46" s="524"/>
      <c r="G46" s="524"/>
      <c r="H46" s="524"/>
      <c r="I46" s="524"/>
      <c r="J46" s="524"/>
      <c r="K46" s="524"/>
      <c r="L46" s="524"/>
      <c r="M46" s="524"/>
      <c r="N46" s="524"/>
      <c r="O46" s="524"/>
      <c r="P46" s="524"/>
      <c r="Q46" s="524"/>
      <c r="R46" s="524"/>
      <c r="S46" s="524"/>
      <c r="T46" s="524"/>
      <c r="U46" s="524"/>
      <c r="V46" s="524"/>
      <c r="W46" s="524"/>
      <c r="X46" s="524"/>
    </row>
    <row r="47" spans="2:24" x14ac:dyDescent="0.3">
      <c r="B47" s="554" t="s">
        <v>565</v>
      </c>
      <c r="C47" s="524"/>
      <c r="D47" s="524"/>
      <c r="E47" s="524"/>
      <c r="F47" s="524"/>
      <c r="G47" s="524"/>
      <c r="H47" s="524"/>
      <c r="I47" s="524"/>
      <c r="J47" s="524"/>
      <c r="K47" s="524"/>
      <c r="L47" s="524"/>
      <c r="M47" s="524"/>
      <c r="N47" s="524"/>
      <c r="O47" s="524"/>
      <c r="P47" s="524"/>
      <c r="Q47" s="524"/>
      <c r="R47" s="524"/>
      <c r="S47" s="524"/>
      <c r="T47" s="524"/>
      <c r="U47" s="524"/>
      <c r="V47" s="524"/>
      <c r="W47" s="524"/>
      <c r="X47" s="524"/>
    </row>
    <row r="48" spans="2:24" x14ac:dyDescent="0.3">
      <c r="B48" s="554"/>
      <c r="C48" s="615" t="s">
        <v>551</v>
      </c>
      <c r="D48" s="615"/>
      <c r="E48" s="615"/>
      <c r="F48" s="615"/>
      <c r="G48" s="615"/>
      <c r="H48" s="615"/>
      <c r="I48" s="615"/>
      <c r="J48" s="615"/>
      <c r="K48" s="524"/>
      <c r="L48" s="524"/>
      <c r="M48" s="524"/>
      <c r="N48" s="524"/>
      <c r="O48" s="524"/>
      <c r="P48" s="524"/>
      <c r="Q48" s="524"/>
      <c r="R48" s="524"/>
      <c r="S48" s="524"/>
      <c r="T48" s="524"/>
      <c r="U48" s="524"/>
      <c r="V48" s="524"/>
      <c r="W48" s="524"/>
      <c r="X48" s="524"/>
    </row>
    <row r="49" spans="2:24" x14ac:dyDescent="0.3">
      <c r="B49" s="554"/>
      <c r="C49" s="632" t="s">
        <v>552</v>
      </c>
      <c r="D49" s="633"/>
      <c r="E49" s="632" t="s">
        <v>553</v>
      </c>
      <c r="F49" s="633"/>
      <c r="G49" s="634" t="s">
        <v>566</v>
      </c>
      <c r="H49" s="635"/>
      <c r="I49" s="632" t="s">
        <v>555</v>
      </c>
      <c r="J49" s="633"/>
      <c r="K49" s="524"/>
      <c r="L49" s="524"/>
      <c r="M49" s="524"/>
      <c r="N49" s="524"/>
      <c r="O49" s="524"/>
      <c r="P49" s="524"/>
      <c r="Q49" s="524"/>
      <c r="R49" s="524"/>
      <c r="S49" s="524"/>
      <c r="T49" s="524"/>
      <c r="U49" s="524"/>
      <c r="V49" s="524"/>
      <c r="W49" s="524"/>
      <c r="X49" s="524"/>
    </row>
    <row r="50" spans="2:24" ht="28.5" customHeight="1" x14ac:dyDescent="0.3">
      <c r="B50" s="558" t="s">
        <v>567</v>
      </c>
      <c r="C50" s="622" t="s">
        <v>568</v>
      </c>
      <c r="D50" s="622"/>
      <c r="E50" s="622" t="s">
        <v>568</v>
      </c>
      <c r="F50" s="622"/>
      <c r="G50" s="622" t="s">
        <v>569</v>
      </c>
      <c r="H50" s="622"/>
      <c r="I50" s="623" t="s">
        <v>570</v>
      </c>
      <c r="J50" s="623"/>
      <c r="K50" s="524"/>
      <c r="L50" s="524"/>
      <c r="M50" s="524"/>
      <c r="N50" s="524"/>
      <c r="O50" s="524"/>
      <c r="P50" s="524"/>
      <c r="Q50" s="524"/>
      <c r="R50" s="524"/>
      <c r="S50" s="524"/>
      <c r="T50" s="524"/>
      <c r="U50" s="524"/>
      <c r="V50" s="524"/>
      <c r="W50" s="524"/>
      <c r="X50" s="524"/>
    </row>
    <row r="51" spans="2:24" x14ac:dyDescent="0.3">
      <c r="B51" s="525" t="s">
        <v>571</v>
      </c>
      <c r="C51" s="624" t="e">
        <f>C67</f>
        <v>#DIV/0!</v>
      </c>
      <c r="D51" s="624"/>
      <c r="E51" s="624" t="e">
        <f t="shared" ref="E51" si="5">E67</f>
        <v>#DIV/0!</v>
      </c>
      <c r="F51" s="624"/>
      <c r="G51" s="624" t="e">
        <f t="shared" ref="G51" si="6">G67</f>
        <v>#DIV/0!</v>
      </c>
      <c r="H51" s="624"/>
      <c r="I51" s="623"/>
      <c r="J51" s="623"/>
      <c r="K51" s="524"/>
      <c r="L51" s="524"/>
      <c r="M51" s="524"/>
      <c r="N51" s="524"/>
      <c r="O51" s="524"/>
      <c r="P51" s="524"/>
      <c r="Q51" s="524"/>
      <c r="R51" s="524"/>
      <c r="S51" s="524"/>
      <c r="T51" s="524"/>
      <c r="U51" s="524"/>
      <c r="V51" s="524"/>
      <c r="W51" s="524"/>
      <c r="X51" s="524"/>
    </row>
    <row r="52" spans="2:24" x14ac:dyDescent="0.3">
      <c r="B52" s="525" t="s">
        <v>572</v>
      </c>
      <c r="C52" s="625" t="s">
        <v>570</v>
      </c>
      <c r="D52" s="626"/>
      <c r="E52" s="631" t="e">
        <f>C79</f>
        <v>#DIV/0!</v>
      </c>
      <c r="F52" s="631"/>
      <c r="G52" s="631" t="e">
        <f>C79</f>
        <v>#DIV/0!</v>
      </c>
      <c r="H52" s="631"/>
      <c r="I52" s="623"/>
      <c r="J52" s="623"/>
      <c r="K52" s="524"/>
      <c r="L52" s="524"/>
      <c r="M52" s="524"/>
      <c r="N52" s="524"/>
      <c r="O52" s="524"/>
      <c r="P52" s="524"/>
      <c r="Q52" s="524"/>
      <c r="R52" s="524"/>
      <c r="S52" s="524"/>
      <c r="T52" s="524"/>
      <c r="U52" s="524"/>
      <c r="V52" s="524"/>
      <c r="W52" s="524"/>
      <c r="X52" s="524"/>
    </row>
    <row r="53" spans="2:24" x14ac:dyDescent="0.3">
      <c r="B53" s="525" t="s">
        <v>573</v>
      </c>
      <c r="C53" s="627"/>
      <c r="D53" s="628"/>
      <c r="E53" s="636" t="e">
        <f>C26</f>
        <v>#DIV/0!</v>
      </c>
      <c r="F53" s="637"/>
      <c r="G53" s="636" t="e">
        <f>C26</f>
        <v>#DIV/0!</v>
      </c>
      <c r="H53" s="637"/>
      <c r="I53" s="623"/>
      <c r="J53" s="623"/>
      <c r="K53" s="524"/>
      <c r="L53" s="524"/>
      <c r="M53" s="524"/>
      <c r="N53" s="524"/>
      <c r="O53" s="524"/>
      <c r="P53" s="524"/>
      <c r="Q53" s="524"/>
      <c r="R53" s="524"/>
      <c r="S53" s="524"/>
      <c r="T53" s="524"/>
      <c r="U53" s="524"/>
      <c r="V53" s="524"/>
      <c r="W53" s="524"/>
      <c r="X53" s="524"/>
    </row>
    <row r="54" spans="2:24" x14ac:dyDescent="0.3">
      <c r="B54" s="525" t="s">
        <v>574</v>
      </c>
      <c r="C54" s="627"/>
      <c r="D54" s="628"/>
      <c r="E54" s="631" t="e">
        <f>E52</f>
        <v>#DIV/0!</v>
      </c>
      <c r="F54" s="631"/>
      <c r="G54" s="631" t="e">
        <f>G52-(C27*0.8)</f>
        <v>#DIV/0!</v>
      </c>
      <c r="H54" s="631"/>
      <c r="I54" s="623"/>
      <c r="J54" s="623"/>
      <c r="K54" s="524"/>
      <c r="L54" s="524"/>
      <c r="M54" s="524"/>
      <c r="N54" s="524"/>
      <c r="O54" s="524"/>
      <c r="P54" s="524"/>
      <c r="Q54" s="524"/>
      <c r="R54" s="524"/>
      <c r="S54" s="524"/>
      <c r="T54" s="524"/>
      <c r="U54" s="524"/>
      <c r="V54" s="524"/>
      <c r="W54" s="524"/>
      <c r="X54" s="524"/>
    </row>
    <row r="55" spans="2:24" x14ac:dyDescent="0.3">
      <c r="B55" s="556" t="s">
        <v>575</v>
      </c>
      <c r="C55" s="629"/>
      <c r="D55" s="630"/>
      <c r="E55" s="636" t="e">
        <f>(E52*E53-E51)/E54</f>
        <v>#DIV/0!</v>
      </c>
      <c r="F55" s="637"/>
      <c r="G55" s="637">
        <v>7.0000000000000007E-2</v>
      </c>
      <c r="H55" s="637"/>
      <c r="I55" s="623"/>
      <c r="J55" s="623"/>
      <c r="K55" s="524"/>
      <c r="L55" s="524"/>
      <c r="M55" s="524"/>
      <c r="N55" s="524"/>
      <c r="O55" s="524"/>
      <c r="P55" s="524"/>
      <c r="Q55" s="524"/>
      <c r="R55" s="524"/>
      <c r="S55" s="524"/>
      <c r="T55" s="524"/>
      <c r="U55" s="524"/>
      <c r="V55" s="524"/>
      <c r="W55" s="524"/>
      <c r="X55" s="524"/>
    </row>
    <row r="56" spans="2:24" x14ac:dyDescent="0.3">
      <c r="B56" s="525" t="s">
        <v>576</v>
      </c>
      <c r="C56" s="638">
        <f>C27</f>
        <v>0</v>
      </c>
      <c r="D56" s="638"/>
      <c r="E56" s="639" t="s">
        <v>570</v>
      </c>
      <c r="F56" s="640"/>
      <c r="G56" s="638">
        <f>(1-0.8)*C27</f>
        <v>0</v>
      </c>
      <c r="H56" s="638"/>
      <c r="I56" s="623"/>
      <c r="J56" s="623"/>
      <c r="K56" s="524"/>
      <c r="L56" s="524"/>
      <c r="M56" s="524"/>
      <c r="N56" s="524"/>
      <c r="O56" s="524"/>
      <c r="P56" s="524"/>
      <c r="Q56" s="524"/>
      <c r="R56" s="524"/>
      <c r="S56" s="524"/>
      <c r="T56" s="524"/>
      <c r="U56" s="524"/>
      <c r="V56" s="524"/>
      <c r="W56" s="524"/>
      <c r="X56" s="524"/>
    </row>
    <row r="57" spans="2:24" x14ac:dyDescent="0.3">
      <c r="B57" s="556" t="s">
        <v>577</v>
      </c>
      <c r="C57" s="636" t="e">
        <f>C51/C56</f>
        <v>#DIV/0!</v>
      </c>
      <c r="D57" s="637"/>
      <c r="E57" s="641"/>
      <c r="F57" s="642"/>
      <c r="G57" s="636" t="e">
        <f>(G51-G52*G53+G54*G55)/G56</f>
        <v>#DIV/0!</v>
      </c>
      <c r="H57" s="637"/>
      <c r="I57" s="623"/>
      <c r="J57" s="623"/>
      <c r="K57" s="524"/>
      <c r="L57" s="524"/>
      <c r="M57" s="524"/>
      <c r="N57" s="524"/>
      <c r="O57" s="524"/>
      <c r="P57" s="524"/>
      <c r="Q57" s="524"/>
      <c r="R57" s="524"/>
      <c r="S57" s="524"/>
      <c r="T57" s="524"/>
      <c r="U57" s="524"/>
      <c r="V57" s="524"/>
      <c r="W57" s="524"/>
      <c r="X57" s="524"/>
    </row>
    <row r="58" spans="2:24" x14ac:dyDescent="0.3">
      <c r="B58" s="557" t="s">
        <v>578</v>
      </c>
      <c r="C58" s="524"/>
      <c r="D58" s="524"/>
      <c r="E58" s="524"/>
      <c r="F58" s="524"/>
      <c r="G58" s="524"/>
      <c r="H58" s="524"/>
      <c r="I58" s="524"/>
      <c r="J58" s="524"/>
      <c r="K58" s="524"/>
      <c r="L58" s="524"/>
      <c r="M58" s="524"/>
      <c r="N58" s="524"/>
      <c r="O58" s="524"/>
      <c r="P58" s="524"/>
      <c r="Q58" s="524"/>
      <c r="R58" s="524"/>
      <c r="S58" s="524"/>
      <c r="T58" s="524"/>
      <c r="U58" s="524"/>
      <c r="V58" s="524"/>
      <c r="W58" s="524"/>
      <c r="X58" s="524"/>
    </row>
    <row r="59" spans="2:24" x14ac:dyDescent="0.3">
      <c r="B59" s="554"/>
      <c r="C59" s="524"/>
      <c r="D59" s="524"/>
      <c r="E59" s="524"/>
      <c r="F59" s="524"/>
      <c r="G59" s="524"/>
      <c r="H59" s="524"/>
      <c r="I59" s="524"/>
      <c r="J59" s="524"/>
      <c r="K59" s="524"/>
      <c r="L59" s="524"/>
      <c r="M59" s="524"/>
      <c r="N59" s="524"/>
      <c r="O59" s="524"/>
      <c r="P59" s="524"/>
      <c r="Q59" s="524"/>
      <c r="R59" s="524"/>
      <c r="S59" s="524"/>
      <c r="T59" s="524"/>
      <c r="U59" s="524"/>
      <c r="V59" s="524"/>
      <c r="W59" s="524"/>
      <c r="X59" s="524"/>
    </row>
    <row r="60" spans="2:24" x14ac:dyDescent="0.3">
      <c r="B60" s="554"/>
      <c r="C60" s="524"/>
      <c r="D60" s="524"/>
      <c r="E60" s="524"/>
      <c r="F60" s="524"/>
      <c r="G60" s="524"/>
      <c r="H60" s="524"/>
      <c r="I60" s="524"/>
      <c r="J60" s="524"/>
      <c r="K60" s="524"/>
      <c r="L60" s="524"/>
      <c r="M60" s="524"/>
      <c r="N60" s="524"/>
      <c r="O60" s="524"/>
      <c r="P60" s="524"/>
      <c r="Q60" s="524"/>
      <c r="R60" s="524"/>
      <c r="S60" s="524"/>
      <c r="T60" s="524"/>
      <c r="U60" s="524"/>
      <c r="V60" s="524"/>
      <c r="W60" s="524"/>
      <c r="X60" s="524"/>
    </row>
    <row r="61" spans="2:24" x14ac:dyDescent="0.3">
      <c r="B61" s="556" t="s">
        <v>579</v>
      </c>
      <c r="C61" s="615" t="s">
        <v>552</v>
      </c>
      <c r="D61" s="615"/>
      <c r="E61" s="615" t="s">
        <v>553</v>
      </c>
      <c r="F61" s="615"/>
      <c r="G61" s="615" t="s">
        <v>554</v>
      </c>
      <c r="H61" s="615"/>
      <c r="I61" s="524"/>
      <c r="J61" s="524"/>
      <c r="K61" s="524"/>
      <c r="L61" s="524"/>
      <c r="M61" s="524"/>
      <c r="N61" s="524"/>
      <c r="O61" s="524"/>
      <c r="P61" s="524"/>
      <c r="Q61" s="524"/>
      <c r="R61" s="524"/>
      <c r="S61" s="524"/>
      <c r="T61" s="524"/>
      <c r="U61" s="524"/>
      <c r="V61" s="524"/>
      <c r="W61" s="524"/>
      <c r="X61" s="524"/>
    </row>
    <row r="62" spans="2:24" x14ac:dyDescent="0.3">
      <c r="B62" s="525" t="s">
        <v>124</v>
      </c>
      <c r="C62" s="643" t="e">
        <f>-LOOKUP(C25,C10:AA10,C11:AA11)+LOOKUP(C25-1,C10:AA10,C11:AA11)</f>
        <v>#DIV/0!</v>
      </c>
      <c r="D62" s="643"/>
      <c r="E62" s="643" t="e">
        <f>-LOOKUP(C25,C10:AA10,C12:AA12)+LOOKUP(C25-1,C10:AA10,C12:AA12)</f>
        <v>#DIV/0!</v>
      </c>
      <c r="F62" s="643"/>
      <c r="G62" s="643" t="e">
        <f>LOOKUP(C25,C10:AA10,C13:AA13)</f>
        <v>#DIV/0!</v>
      </c>
      <c r="H62" s="643"/>
      <c r="I62" s="524"/>
      <c r="J62" s="524"/>
      <c r="K62" s="524"/>
      <c r="L62" s="524"/>
      <c r="M62" s="524"/>
      <c r="N62" s="524"/>
      <c r="O62" s="524"/>
      <c r="P62" s="524"/>
      <c r="Q62" s="524"/>
      <c r="R62" s="524"/>
      <c r="S62" s="524"/>
      <c r="T62" s="524"/>
      <c r="U62" s="524"/>
      <c r="V62" s="524"/>
      <c r="W62" s="524"/>
      <c r="X62" s="524"/>
    </row>
    <row r="63" spans="2:24" x14ac:dyDescent="0.3">
      <c r="B63" s="525" t="s">
        <v>538</v>
      </c>
      <c r="C63" s="643" t="e">
        <f>LOOKUP(C25,C10:AA10,C11:AA11)*15%</f>
        <v>#DIV/0!</v>
      </c>
      <c r="D63" s="643"/>
      <c r="E63" s="643" t="e">
        <f>LOOKUP(C25,C10:AA10,C12:AA12)*15%</f>
        <v>#DIV/0!</v>
      </c>
      <c r="F63" s="643"/>
      <c r="G63" s="643" t="e">
        <f>LOOKUP(C25,C10:AA10,C14:AA14)</f>
        <v>#DIV/0!</v>
      </c>
      <c r="H63" s="643"/>
      <c r="I63" s="524"/>
      <c r="J63" s="524"/>
      <c r="K63" s="524"/>
      <c r="L63" s="524"/>
      <c r="M63" s="524"/>
      <c r="N63" s="524"/>
      <c r="O63" s="524"/>
      <c r="P63" s="524"/>
      <c r="Q63" s="524"/>
      <c r="R63" s="524"/>
      <c r="S63" s="524"/>
      <c r="T63" s="524"/>
      <c r="U63" s="524"/>
      <c r="V63" s="524"/>
      <c r="W63" s="524"/>
      <c r="X63" s="524"/>
    </row>
    <row r="64" spans="2:24" x14ac:dyDescent="0.3">
      <c r="B64" s="525" t="s">
        <v>580</v>
      </c>
      <c r="C64" s="644">
        <f>LOOKUP(C25,C10:AA10,C16:AA16)</f>
        <v>0</v>
      </c>
      <c r="D64" s="644"/>
      <c r="E64" s="644">
        <f>LOOKUP(C25,C10:AA10,C16:AA16)</f>
        <v>0</v>
      </c>
      <c r="F64" s="644"/>
      <c r="G64" s="644">
        <f>LOOKUP(C25,C10:AA10,C16:AA16)</f>
        <v>0</v>
      </c>
      <c r="H64" s="644"/>
      <c r="I64" s="524"/>
      <c r="J64" s="524"/>
      <c r="K64" s="524"/>
      <c r="L64" s="524"/>
      <c r="M64" s="524"/>
      <c r="N64" s="524"/>
      <c r="O64" s="524"/>
      <c r="P64" s="524"/>
      <c r="Q64" s="524"/>
      <c r="R64" s="524"/>
      <c r="S64" s="524"/>
      <c r="T64" s="524"/>
      <c r="U64" s="524"/>
      <c r="V64" s="524"/>
      <c r="W64" s="524"/>
      <c r="X64" s="524"/>
    </row>
    <row r="65" spans="2:24" x14ac:dyDescent="0.3">
      <c r="B65" s="525" t="s">
        <v>581</v>
      </c>
      <c r="C65" s="645">
        <v>0.4</v>
      </c>
      <c r="D65" s="646"/>
      <c r="E65" s="645">
        <v>0.7</v>
      </c>
      <c r="F65" s="646"/>
      <c r="G65" s="645">
        <v>0.9</v>
      </c>
      <c r="H65" s="646"/>
      <c r="I65" s="524"/>
      <c r="J65" s="524"/>
      <c r="K65" s="524"/>
      <c r="L65" s="524"/>
      <c r="M65" s="524"/>
      <c r="N65" s="524"/>
      <c r="O65" s="524"/>
      <c r="P65" s="524"/>
      <c r="Q65" s="524"/>
      <c r="R65" s="524"/>
      <c r="S65" s="524"/>
      <c r="T65" s="524"/>
      <c r="U65" s="524"/>
      <c r="V65" s="524"/>
      <c r="W65" s="524"/>
      <c r="X65" s="524"/>
    </row>
    <row r="66" spans="2:24" x14ac:dyDescent="0.3">
      <c r="B66" s="525" t="s">
        <v>582</v>
      </c>
      <c r="C66" s="643" t="e">
        <f>LOOKUP(C25,C10:AA10,C15:AA15)*C65</f>
        <v>#DIV/0!</v>
      </c>
      <c r="D66" s="643"/>
      <c r="E66" s="643" t="e">
        <f>LOOKUP(C25,C10:AA10,C15:AA15)*E65</f>
        <v>#DIV/0!</v>
      </c>
      <c r="F66" s="643"/>
      <c r="G66" s="643" t="e">
        <f>LOOKUP(C25,C10:AA10,C15:AA15)*G65</f>
        <v>#DIV/0!</v>
      </c>
      <c r="H66" s="643"/>
      <c r="I66" s="524"/>
      <c r="J66" s="524"/>
      <c r="K66" s="524"/>
      <c r="L66" s="524"/>
      <c r="M66" s="524"/>
      <c r="N66" s="524"/>
      <c r="O66" s="524"/>
      <c r="P66" s="524"/>
      <c r="Q66" s="524"/>
      <c r="R66" s="524"/>
      <c r="S66" s="524"/>
      <c r="T66" s="524"/>
      <c r="U66" s="524"/>
      <c r="V66" s="524"/>
      <c r="W66" s="524"/>
      <c r="X66" s="524"/>
    </row>
    <row r="67" spans="2:24" x14ac:dyDescent="0.3">
      <c r="B67" s="556" t="s">
        <v>583</v>
      </c>
      <c r="C67" s="647" t="e">
        <f t="shared" ref="C67" si="7">C62+C63+C64+C66</f>
        <v>#DIV/0!</v>
      </c>
      <c r="D67" s="647"/>
      <c r="E67" s="647" t="e">
        <f t="shared" ref="E67" si="8">E62+E63+E64+E66</f>
        <v>#DIV/0!</v>
      </c>
      <c r="F67" s="647"/>
      <c r="G67" s="647" t="e">
        <f>G62+G63+G64+G66</f>
        <v>#DIV/0!</v>
      </c>
      <c r="H67" s="647"/>
      <c r="I67" s="524"/>
      <c r="J67" s="524"/>
      <c r="K67" s="524"/>
      <c r="L67" s="524"/>
      <c r="M67" s="524"/>
      <c r="N67" s="524"/>
      <c r="O67" s="524"/>
      <c r="P67" s="524"/>
      <c r="Q67" s="524"/>
      <c r="R67" s="524"/>
      <c r="S67" s="524"/>
      <c r="T67" s="524"/>
      <c r="U67" s="524"/>
      <c r="V67" s="524"/>
      <c r="W67" s="524"/>
      <c r="X67" s="524"/>
    </row>
    <row r="68" spans="2:24" x14ac:dyDescent="0.3">
      <c r="B68" s="522" t="s">
        <v>584</v>
      </c>
      <c r="C68" s="524"/>
      <c r="D68" s="524"/>
      <c r="E68" s="524"/>
      <c r="F68" s="524"/>
      <c r="G68" s="524"/>
      <c r="H68" s="524"/>
      <c r="I68" s="524"/>
      <c r="J68" s="524"/>
      <c r="K68" s="524"/>
      <c r="L68" s="524"/>
      <c r="M68" s="524"/>
      <c r="N68" s="524"/>
      <c r="O68" s="524"/>
      <c r="P68" s="524"/>
      <c r="Q68" s="524"/>
      <c r="R68" s="524"/>
      <c r="S68" s="524"/>
      <c r="T68" s="524"/>
      <c r="U68" s="524"/>
      <c r="V68" s="524"/>
      <c r="W68" s="524"/>
      <c r="X68" s="524"/>
    </row>
    <row r="69" spans="2:24" x14ac:dyDescent="0.3">
      <c r="B69" s="554"/>
      <c r="C69" s="524"/>
      <c r="D69" s="524"/>
      <c r="E69" s="524"/>
      <c r="F69" s="524"/>
      <c r="G69" s="524"/>
      <c r="H69" s="524"/>
      <c r="I69" s="524"/>
      <c r="J69" s="524"/>
      <c r="K69" s="524"/>
      <c r="L69" s="524"/>
      <c r="M69" s="524"/>
      <c r="N69" s="524"/>
      <c r="O69" s="524"/>
      <c r="P69" s="524"/>
      <c r="Q69" s="524"/>
      <c r="R69" s="524"/>
      <c r="S69" s="524"/>
      <c r="T69" s="524"/>
      <c r="U69" s="524"/>
      <c r="V69" s="524"/>
      <c r="W69" s="524"/>
      <c r="X69" s="524"/>
    </row>
    <row r="70" spans="2:24" x14ac:dyDescent="0.3">
      <c r="B70" s="554"/>
      <c r="C70" s="524"/>
      <c r="D70" s="524"/>
      <c r="E70" s="524"/>
      <c r="F70" s="524"/>
      <c r="G70" s="524"/>
      <c r="H70" s="524"/>
      <c r="I70" s="524"/>
      <c r="J70" s="524"/>
      <c r="K70" s="524"/>
      <c r="L70" s="524"/>
      <c r="M70" s="524"/>
      <c r="N70" s="524"/>
      <c r="O70" s="524"/>
      <c r="P70" s="524"/>
      <c r="Q70" s="524"/>
      <c r="R70" s="524"/>
      <c r="S70" s="524"/>
      <c r="T70" s="524"/>
      <c r="U70" s="524"/>
      <c r="V70" s="524"/>
      <c r="W70" s="524"/>
      <c r="X70" s="524"/>
    </row>
    <row r="71" spans="2:24" x14ac:dyDescent="0.3">
      <c r="B71" s="650" t="s">
        <v>585</v>
      </c>
      <c r="C71" s="650"/>
      <c r="D71" s="650"/>
      <c r="E71" s="554"/>
      <c r="F71" s="554"/>
      <c r="G71" s="554"/>
      <c r="H71" s="524"/>
      <c r="I71" s="524"/>
      <c r="J71" s="524"/>
      <c r="K71" s="524"/>
      <c r="L71" s="524"/>
      <c r="M71" s="524"/>
      <c r="N71" s="524"/>
      <c r="O71" s="524"/>
      <c r="P71" s="524"/>
      <c r="Q71" s="524"/>
      <c r="R71" s="524"/>
      <c r="S71" s="524"/>
      <c r="T71" s="524"/>
      <c r="U71" s="524"/>
      <c r="V71" s="524"/>
      <c r="W71" s="524"/>
      <c r="X71" s="524"/>
    </row>
    <row r="72" spans="2:24" x14ac:dyDescent="0.3">
      <c r="B72" s="525" t="s">
        <v>586</v>
      </c>
      <c r="C72" s="651" t="e">
        <f>LOOKUP(C25,C10:AA10,C19:AA19)</f>
        <v>#DIV/0!</v>
      </c>
      <c r="D72" s="651"/>
      <c r="E72" s="524"/>
      <c r="F72" s="524"/>
      <c r="G72" s="524"/>
      <c r="H72" s="524"/>
      <c r="I72" s="524"/>
      <c r="J72" s="524"/>
      <c r="K72" s="524"/>
      <c r="L72" s="524"/>
      <c r="M72" s="524"/>
      <c r="N72" s="524"/>
      <c r="O72" s="524"/>
      <c r="P72" s="524"/>
      <c r="Q72" s="524"/>
      <c r="R72" s="524"/>
      <c r="S72" s="524"/>
      <c r="T72" s="524"/>
      <c r="U72" s="524"/>
      <c r="V72" s="524"/>
      <c r="W72" s="524"/>
      <c r="X72" s="524"/>
    </row>
    <row r="73" spans="2:24" x14ac:dyDescent="0.3">
      <c r="B73" s="525" t="s">
        <v>587</v>
      </c>
      <c r="C73" s="651" t="e">
        <f>C26</f>
        <v>#DIV/0!</v>
      </c>
      <c r="D73" s="651"/>
      <c r="E73" s="524"/>
      <c r="F73" s="524"/>
      <c r="G73" s="524"/>
      <c r="H73" s="524"/>
      <c r="I73" s="524"/>
      <c r="J73" s="524"/>
      <c r="K73" s="524"/>
      <c r="L73" s="524"/>
      <c r="M73" s="524"/>
      <c r="N73" s="524"/>
      <c r="O73" s="524"/>
      <c r="P73" s="524"/>
      <c r="Q73" s="524"/>
      <c r="R73" s="524"/>
      <c r="S73" s="524"/>
      <c r="T73" s="524"/>
      <c r="U73" s="524"/>
      <c r="V73" s="524"/>
      <c r="W73" s="524"/>
      <c r="X73" s="524"/>
    </row>
    <row r="74" spans="2:24" x14ac:dyDescent="0.3">
      <c r="B74" s="559" t="s">
        <v>588</v>
      </c>
      <c r="C74" s="648">
        <f>LOOKUP(C25,C10:AA10,C18:AA18)</f>
        <v>0</v>
      </c>
      <c r="D74" s="648"/>
      <c r="E74" s="560"/>
      <c r="F74" s="560"/>
      <c r="G74" s="524"/>
      <c r="H74" s="524"/>
      <c r="I74" s="524"/>
      <c r="J74" s="524"/>
      <c r="K74" s="524"/>
      <c r="L74" s="524"/>
      <c r="M74" s="524"/>
      <c r="N74" s="524"/>
      <c r="O74" s="524"/>
      <c r="P74" s="524"/>
      <c r="Q74" s="524"/>
      <c r="R74" s="524"/>
      <c r="S74" s="524"/>
      <c r="T74" s="524"/>
      <c r="U74" s="524"/>
      <c r="V74" s="524"/>
      <c r="W74" s="524"/>
      <c r="X74" s="524"/>
    </row>
    <row r="75" spans="2:24" x14ac:dyDescent="0.3">
      <c r="B75" s="525" t="s">
        <v>589</v>
      </c>
      <c r="C75" s="645">
        <v>0.75</v>
      </c>
      <c r="D75" s="645"/>
      <c r="E75" s="524"/>
      <c r="F75" s="524"/>
      <c r="G75" s="524"/>
      <c r="H75" s="524"/>
      <c r="I75" s="524"/>
      <c r="J75" s="524"/>
      <c r="K75" s="524"/>
      <c r="L75" s="524"/>
      <c r="M75" s="524"/>
      <c r="N75" s="524"/>
      <c r="O75" s="524"/>
      <c r="P75" s="524"/>
      <c r="Q75" s="524"/>
      <c r="R75" s="524"/>
      <c r="S75" s="524"/>
      <c r="T75" s="524"/>
      <c r="U75" s="524"/>
      <c r="V75" s="524"/>
      <c r="W75" s="524"/>
      <c r="X75" s="524"/>
    </row>
    <row r="76" spans="2:24" x14ac:dyDescent="0.3">
      <c r="B76" s="525" t="s">
        <v>590</v>
      </c>
      <c r="C76" s="652">
        <f>1-C75</f>
        <v>0.25</v>
      </c>
      <c r="D76" s="652"/>
      <c r="E76" s="524"/>
      <c r="F76" s="524"/>
      <c r="G76" s="524"/>
      <c r="H76" s="524"/>
      <c r="I76" s="524"/>
      <c r="J76" s="524"/>
      <c r="K76" s="524"/>
      <c r="L76" s="524"/>
      <c r="M76" s="524"/>
      <c r="N76" s="524"/>
      <c r="O76" s="524"/>
      <c r="P76" s="524"/>
      <c r="Q76" s="524"/>
      <c r="R76" s="524"/>
      <c r="S76" s="524"/>
      <c r="T76" s="524"/>
      <c r="U76" s="524"/>
      <c r="V76" s="524"/>
      <c r="W76" s="524"/>
      <c r="X76" s="524"/>
    </row>
    <row r="77" spans="2:24" x14ac:dyDescent="0.3">
      <c r="B77" s="525" t="s">
        <v>591</v>
      </c>
      <c r="C77" s="648" t="e">
        <f>C74*C75*C72/C73</f>
        <v>#DIV/0!</v>
      </c>
      <c r="D77" s="648"/>
      <c r="E77" s="524"/>
      <c r="F77" s="524"/>
      <c r="G77" s="524"/>
      <c r="H77" s="524"/>
      <c r="I77" s="524"/>
      <c r="J77" s="524"/>
      <c r="K77" s="524"/>
      <c r="L77" s="524"/>
      <c r="M77" s="524"/>
      <c r="N77" s="524"/>
      <c r="O77" s="524"/>
      <c r="P77" s="524"/>
      <c r="Q77" s="524"/>
      <c r="R77" s="524"/>
      <c r="S77" s="524"/>
      <c r="T77" s="524"/>
      <c r="U77" s="524"/>
      <c r="V77" s="524"/>
      <c r="W77" s="524"/>
      <c r="X77" s="524"/>
    </row>
    <row r="78" spans="2:24" x14ac:dyDescent="0.3">
      <c r="B78" s="525" t="s">
        <v>592</v>
      </c>
      <c r="C78" s="648">
        <f>C76*C74</f>
        <v>0</v>
      </c>
      <c r="D78" s="648"/>
      <c r="E78" s="524"/>
      <c r="F78" s="524"/>
      <c r="G78" s="524"/>
      <c r="H78" s="524"/>
      <c r="I78" s="524"/>
      <c r="J78" s="524"/>
      <c r="K78" s="524"/>
      <c r="L78" s="524"/>
      <c r="M78" s="524"/>
      <c r="N78" s="524"/>
      <c r="O78" s="524"/>
      <c r="P78" s="524"/>
      <c r="Q78" s="524"/>
      <c r="R78" s="524"/>
      <c r="S78" s="524"/>
      <c r="T78" s="524"/>
      <c r="U78" s="524"/>
      <c r="V78" s="524"/>
      <c r="W78" s="524"/>
      <c r="X78" s="524"/>
    </row>
    <row r="79" spans="2:24" x14ac:dyDescent="0.3">
      <c r="B79" s="556" t="s">
        <v>593</v>
      </c>
      <c r="C79" s="649" t="e">
        <f>C77+C78</f>
        <v>#DIV/0!</v>
      </c>
      <c r="D79" s="649"/>
      <c r="E79" s="554"/>
      <c r="F79" s="554"/>
      <c r="G79" s="524"/>
      <c r="H79" s="524"/>
      <c r="I79" s="524"/>
      <c r="J79" s="524"/>
      <c r="K79" s="524"/>
      <c r="L79" s="524"/>
      <c r="M79" s="524"/>
      <c r="N79" s="524"/>
      <c r="O79" s="524"/>
      <c r="P79" s="524"/>
      <c r="Q79" s="524"/>
      <c r="R79" s="524"/>
      <c r="S79" s="524"/>
      <c r="T79" s="524"/>
      <c r="U79" s="524"/>
      <c r="V79" s="524"/>
      <c r="W79" s="524"/>
      <c r="X79" s="524"/>
    </row>
    <row r="80" spans="2:24" x14ac:dyDescent="0.3">
      <c r="B80" s="522" t="s">
        <v>594</v>
      </c>
      <c r="C80" s="561"/>
      <c r="D80" s="524"/>
      <c r="E80" s="524"/>
      <c r="F80" s="524"/>
      <c r="G80" s="524"/>
      <c r="H80" s="524"/>
      <c r="I80" s="524"/>
      <c r="J80" s="524"/>
      <c r="K80" s="524"/>
      <c r="L80" s="524"/>
      <c r="M80" s="524"/>
      <c r="N80" s="524"/>
      <c r="O80" s="524"/>
      <c r="P80" s="524"/>
      <c r="Q80" s="524"/>
      <c r="R80" s="524"/>
      <c r="S80" s="524"/>
      <c r="T80" s="524"/>
      <c r="U80" s="524"/>
      <c r="V80" s="524"/>
      <c r="W80" s="524"/>
      <c r="X80" s="524"/>
    </row>
    <row r="81" spans="2:24" x14ac:dyDescent="0.3">
      <c r="B81" s="524"/>
      <c r="C81" s="524"/>
      <c r="D81" s="524"/>
      <c r="E81" s="524"/>
      <c r="F81" s="524"/>
      <c r="G81" s="524"/>
      <c r="H81" s="524"/>
      <c r="I81" s="524"/>
      <c r="J81" s="524"/>
      <c r="K81" s="524"/>
      <c r="L81" s="524"/>
      <c r="M81" s="524"/>
      <c r="N81" s="524"/>
      <c r="O81" s="524"/>
      <c r="P81" s="524"/>
      <c r="Q81" s="524"/>
      <c r="R81" s="524"/>
      <c r="S81" s="524"/>
      <c r="T81" s="524"/>
      <c r="U81" s="524"/>
      <c r="V81" s="524"/>
      <c r="W81" s="524"/>
      <c r="X81" s="524"/>
    </row>
    <row r="82" spans="2:24" x14ac:dyDescent="0.3">
      <c r="B82" s="554"/>
      <c r="C82" s="524"/>
      <c r="D82" s="524"/>
      <c r="E82" s="524"/>
      <c r="F82" s="524"/>
      <c r="G82" s="524"/>
      <c r="H82" s="524"/>
      <c r="I82" s="524"/>
      <c r="J82" s="524"/>
      <c r="K82" s="524"/>
      <c r="L82" s="524"/>
      <c r="M82" s="524"/>
      <c r="N82" s="524"/>
      <c r="O82" s="524"/>
      <c r="P82" s="524"/>
      <c r="Q82" s="524"/>
      <c r="R82" s="524"/>
      <c r="S82" s="524"/>
      <c r="T82" s="524"/>
      <c r="U82" s="524"/>
      <c r="V82" s="524"/>
      <c r="W82" s="524"/>
      <c r="X82" s="524"/>
    </row>
    <row r="83" spans="2:24" x14ac:dyDescent="0.3">
      <c r="B83" s="524"/>
      <c r="C83" s="562"/>
      <c r="D83" s="524"/>
      <c r="E83" s="524"/>
      <c r="F83" s="524"/>
      <c r="G83" s="524"/>
      <c r="H83" s="524"/>
      <c r="I83" s="524"/>
      <c r="J83" s="524"/>
      <c r="K83" s="524"/>
      <c r="L83" s="524"/>
      <c r="M83" s="524"/>
      <c r="N83" s="524"/>
      <c r="O83" s="524"/>
      <c r="P83" s="524"/>
      <c r="Q83" s="524"/>
      <c r="R83" s="524"/>
      <c r="S83" s="524"/>
      <c r="T83" s="524"/>
      <c r="U83" s="524"/>
      <c r="V83" s="524"/>
      <c r="W83" s="524"/>
      <c r="X83" s="524"/>
    </row>
    <row r="84" spans="2:24" x14ac:dyDescent="0.3">
      <c r="B84" s="524"/>
      <c r="C84" s="563"/>
      <c r="D84" s="524"/>
      <c r="E84" s="524"/>
      <c r="F84" s="524"/>
      <c r="G84" s="524"/>
      <c r="H84" s="524"/>
      <c r="I84" s="524"/>
      <c r="J84" s="524"/>
      <c r="K84" s="524"/>
      <c r="L84" s="524"/>
      <c r="M84" s="524"/>
      <c r="N84" s="524"/>
      <c r="O84" s="524"/>
      <c r="P84" s="524"/>
      <c r="Q84" s="524"/>
      <c r="R84" s="524"/>
      <c r="S84" s="524"/>
      <c r="T84" s="524"/>
      <c r="U84" s="524"/>
      <c r="V84" s="524"/>
      <c r="W84" s="524"/>
      <c r="X84" s="524"/>
    </row>
    <row r="85" spans="2:24" x14ac:dyDescent="0.3">
      <c r="B85" s="524"/>
      <c r="C85" s="562"/>
      <c r="D85" s="524"/>
      <c r="E85" s="524"/>
      <c r="F85" s="524"/>
      <c r="G85" s="524"/>
      <c r="H85" s="524"/>
      <c r="I85" s="524"/>
      <c r="J85" s="524"/>
      <c r="K85" s="524"/>
      <c r="L85" s="524"/>
      <c r="M85" s="524"/>
      <c r="N85" s="524"/>
      <c r="O85" s="524"/>
      <c r="P85" s="524"/>
      <c r="Q85" s="524"/>
      <c r="R85" s="524"/>
      <c r="S85" s="524"/>
      <c r="T85" s="524"/>
      <c r="U85" s="524"/>
      <c r="V85" s="524"/>
      <c r="W85" s="524"/>
      <c r="X85" s="524"/>
    </row>
    <row r="86" spans="2:24" x14ac:dyDescent="0.3">
      <c r="B86" s="524"/>
      <c r="C86" s="524"/>
      <c r="D86" s="524"/>
      <c r="E86" s="524"/>
      <c r="F86" s="524"/>
      <c r="G86" s="524"/>
      <c r="H86" s="524"/>
      <c r="I86" s="524"/>
      <c r="J86" s="524"/>
      <c r="K86" s="524"/>
      <c r="L86" s="524"/>
      <c r="M86" s="524"/>
      <c r="N86" s="524"/>
      <c r="O86" s="524"/>
      <c r="P86" s="524"/>
      <c r="Q86" s="524"/>
      <c r="R86" s="524"/>
      <c r="S86" s="524"/>
      <c r="T86" s="524"/>
      <c r="U86" s="524"/>
      <c r="V86" s="524"/>
      <c r="W86" s="524"/>
      <c r="X86" s="524"/>
    </row>
  </sheetData>
  <sheetProtection algorithmName="SHA-512" hashValue="uvPBIjJz5gMb/ThqQEb0jPosuDTyd5A1STr+6fmDBKEyl1uzPVgt/mDfQ92wqmvsJ6PnhpEuyQSF5bRfFNHxDQ==" saltValue="D7SobgNlRKa2lr9hlHOgjg==" spinCount="100000" sheet="1" objects="1" scenarios="1"/>
  <mergeCells count="77">
    <mergeCell ref="C77:D77"/>
    <mergeCell ref="C78:D78"/>
    <mergeCell ref="C79:D79"/>
    <mergeCell ref="B71:D71"/>
    <mergeCell ref="C72:D72"/>
    <mergeCell ref="C73:D73"/>
    <mergeCell ref="C74:D74"/>
    <mergeCell ref="C75:D75"/>
    <mergeCell ref="C76:D76"/>
    <mergeCell ref="C66:D66"/>
    <mergeCell ref="E66:F66"/>
    <mergeCell ref="G66:H66"/>
    <mergeCell ref="C67:D67"/>
    <mergeCell ref="E67:F67"/>
    <mergeCell ref="G67:H67"/>
    <mergeCell ref="C64:D64"/>
    <mergeCell ref="E64:F64"/>
    <mergeCell ref="G64:H64"/>
    <mergeCell ref="C65:D65"/>
    <mergeCell ref="E65:F65"/>
    <mergeCell ref="G65:H65"/>
    <mergeCell ref="C62:D62"/>
    <mergeCell ref="E62:F62"/>
    <mergeCell ref="G62:H62"/>
    <mergeCell ref="C63:D63"/>
    <mergeCell ref="E63:F63"/>
    <mergeCell ref="G63:H63"/>
    <mergeCell ref="C61:D61"/>
    <mergeCell ref="E61:F61"/>
    <mergeCell ref="G61:H61"/>
    <mergeCell ref="E53:F53"/>
    <mergeCell ref="G53:H53"/>
    <mergeCell ref="E54:F54"/>
    <mergeCell ref="G54:H54"/>
    <mergeCell ref="E55:F55"/>
    <mergeCell ref="G55:H55"/>
    <mergeCell ref="C56:D56"/>
    <mergeCell ref="E56:F57"/>
    <mergeCell ref="G56:H56"/>
    <mergeCell ref="C57:D57"/>
    <mergeCell ref="G57:H57"/>
    <mergeCell ref="C48:J48"/>
    <mergeCell ref="C50:D50"/>
    <mergeCell ref="E50:F50"/>
    <mergeCell ref="G50:H50"/>
    <mergeCell ref="I50:J57"/>
    <mergeCell ref="C51:D51"/>
    <mergeCell ref="E51:F51"/>
    <mergeCell ref="G51:H51"/>
    <mergeCell ref="C52:D55"/>
    <mergeCell ref="E52:F52"/>
    <mergeCell ref="G52:H52"/>
    <mergeCell ref="C49:D49"/>
    <mergeCell ref="E49:F49"/>
    <mergeCell ref="G49:H49"/>
    <mergeCell ref="I49:J49"/>
    <mergeCell ref="C37:D37"/>
    <mergeCell ref="E37:F37"/>
    <mergeCell ref="G37:H37"/>
    <mergeCell ref="I37:J37"/>
    <mergeCell ref="C34:D34"/>
    <mergeCell ref="E34:F34"/>
    <mergeCell ref="G34:H34"/>
    <mergeCell ref="I34:J34"/>
    <mergeCell ref="C35:D35"/>
    <mergeCell ref="E35:F35"/>
    <mergeCell ref="G35:H35"/>
    <mergeCell ref="I35:J35"/>
    <mergeCell ref="C36:D36"/>
    <mergeCell ref="E36:F36"/>
    <mergeCell ref="G36:H36"/>
    <mergeCell ref="I36:J36"/>
    <mergeCell ref="C32:J32"/>
    <mergeCell ref="C33:D33"/>
    <mergeCell ref="E33:F33"/>
    <mergeCell ref="G33:H33"/>
    <mergeCell ref="I33:J33"/>
  </mergeCells>
  <dataValidations count="1">
    <dataValidation type="list" allowBlank="1" showInputMessage="1" showErrorMessage="1" sqref="C25" xr:uid="{3ABCBA82-EB97-44C8-B7E3-768F8BBE64BD}">
      <formula1>$C$10:$AA$10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73ECF532268743AC3250AF54008B92" ma:contentTypeVersion="16" ma:contentTypeDescription="Create a new document." ma:contentTypeScope="" ma:versionID="33a7a6446e86b1f28b1709622cac8241">
  <xsd:schema xmlns:xsd="http://www.w3.org/2001/XMLSchema" xmlns:xs="http://www.w3.org/2001/XMLSchema" xmlns:p="http://schemas.microsoft.com/office/2006/metadata/properties" xmlns:ns3="bd1adfa4-024d-4865-abf2-ac4d3f0f1eba" xmlns:ns4="597f17dd-42e5-445e-9929-3a2b524abe00" targetNamespace="http://schemas.microsoft.com/office/2006/metadata/properties" ma:root="true" ma:fieldsID="b9938b8cf8b9f2d85da28564d556a197" ns3:_="" ns4:_="">
    <xsd:import namespace="bd1adfa4-024d-4865-abf2-ac4d3f0f1eba"/>
    <xsd:import namespace="597f17dd-42e5-445e-9929-3a2b524abe0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LengthInSecond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1adfa4-024d-4865-abf2-ac4d3f0f1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f17dd-42e5-445e-9929-3a2b524abe0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d1adfa4-024d-4865-abf2-ac4d3f0f1eba" xsi:nil="true"/>
  </documentManagement>
</p:properties>
</file>

<file path=customXml/itemProps1.xml><?xml version="1.0" encoding="utf-8"?>
<ds:datastoreItem xmlns:ds="http://schemas.openxmlformats.org/officeDocument/2006/customXml" ds:itemID="{829E67BD-6796-4BB8-A259-1A2941263839}">
  <ds:schemaRefs>
    <ds:schemaRef ds:uri="http://schemas.microsoft.com/sharepoint/v3/contenttype/forms"/>
  </ds:schemaRefs>
</ds:datastoreItem>
</file>

<file path=customXml/itemProps2.xml><?xml version="1.0" encoding="utf-8"?>
<ds:datastoreItem xmlns:ds="http://schemas.openxmlformats.org/officeDocument/2006/customXml" ds:itemID="{C7CA43D6-FD5C-405A-B4D9-C8770130A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1adfa4-024d-4865-abf2-ac4d3f0f1eba"/>
    <ds:schemaRef ds:uri="597f17dd-42e5-445e-9929-3a2b524ab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0D084-1398-48D9-87F3-5C282A8DEAE7}">
  <ds:schemaRefs>
    <ds:schemaRef ds:uri="http://schemas.microsoft.com/office/2006/metadata/properties"/>
    <ds:schemaRef ds:uri="bd1adfa4-024d-4865-abf2-ac4d3f0f1eba"/>
    <ds:schemaRef ds:uri="http://purl.org/dc/dcmitype/"/>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597f17dd-42e5-445e-9929-3a2b524abe0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Tool User Guide</vt:lpstr>
      <vt:lpstr>Basic Information</vt:lpstr>
      <vt:lpstr>Inputs</vt:lpstr>
      <vt:lpstr>Calculations</vt:lpstr>
      <vt:lpstr>Outputs</vt:lpstr>
      <vt:lpstr>Portfolio tab</vt:lpstr>
      <vt:lpstr>Grid arrival</vt:lpstr>
      <vt:lpstr>Outputs!Print_Area</vt:lpstr>
      <vt:lpstr>'Tool User Guide'!Print_Titles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NERC;AESG;AFUR;OBAFEMI Joseph</dc:creator>
  <cp:keywords>Portfolio;Mini Grid;Tariff tool</cp:keywords>
  <cp:lastModifiedBy>OBAFEMI Joseph</cp:lastModifiedBy>
  <cp:lastPrinted>2024-01-09T08:31:24Z</cp:lastPrinted>
  <dcterms:created xsi:type="dcterms:W3CDTF">2021-10-19T10:07:09Z</dcterms:created>
  <dcterms:modified xsi:type="dcterms:W3CDTF">2025-10-03T12:54:43Z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0x0101006273ECF532268743AC3250AF54008B92</vt:lpwstr>
  </property>
</Properties>
</file>